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ojects\2013\W-13-072 FRA-70-13.10 6A\89464\roadway\spreadsheets\"/>
    </mc:Choice>
  </mc:AlternateContent>
  <bookViews>
    <workbookView xWindow="120" yWindow="45" windowWidth="19440" windowHeight="9615" activeTab="3"/>
  </bookViews>
  <sheets>
    <sheet name="IR 71 SB TIE IN TO GREENLAWN BR" sheetId="3" r:id="rId1"/>
    <sheet name="RAMP B3" sheetId="4" r:id="rId2"/>
    <sheet name="RAMP C3 &amp; C5" sheetId="7" r:id="rId3"/>
    <sheet name="RAMP C3" sheetId="5" r:id="rId4"/>
    <sheet name="RAMP SHOULDER TRANSITIONS" sheetId="6" r:id="rId5"/>
    <sheet name="IR 71 SB &amp; BARR GORE CONT" sheetId="8" r:id="rId6"/>
  </sheets>
  <definedNames>
    <definedName name="_xlnm.Print_Area" localSheetId="0">'IR 71 SB TIE IN TO GREENLAWN BR'!$A$1:$P$40</definedName>
    <definedName name="_xlnm.Print_Area" localSheetId="1">'RAMP B3'!$A$1:$Y$37</definedName>
    <definedName name="_xlnm.Print_Area" localSheetId="3">'RAMP C3'!$A$1:$S$42</definedName>
  </definedNames>
  <calcPr calcId="162913"/>
  <customWorkbookViews>
    <customWorkbookView name="colinr - Personal View" guid="{2584D7FF-B92A-4024-9F14-459567FE9908}" mergeInterval="0" personalView="1" maximized="1" xWindow="1" yWindow="1" windowWidth="1600" windowHeight="712" activeSheetId="1"/>
    <customWorkbookView name="scottj - Personal View" guid="{69F7AF8C-C6A1-4195-BEF0-A5504B308557}" mergeInterval="0" personalView="1" maximized="1" xWindow="1" yWindow="1" windowWidth="1600" windowHeight="712" activeSheetId="1"/>
  </customWorkbookViews>
</workbook>
</file>

<file path=xl/calcChain.xml><?xml version="1.0" encoding="utf-8"?>
<calcChain xmlns="http://schemas.openxmlformats.org/spreadsheetml/2006/main">
  <c r="D6" i="5" l="1"/>
  <c r="K5" i="5"/>
  <c r="B33" i="8" l="1"/>
  <c r="B12" i="3" l="1"/>
  <c r="C46" i="8" l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C66" i="8" s="1"/>
  <c r="C67" i="8" s="1"/>
  <c r="C68" i="8" s="1"/>
  <c r="C45" i="8"/>
  <c r="Q68" i="8"/>
  <c r="L68" i="8"/>
  <c r="O68" i="8" s="1"/>
  <c r="H68" i="8"/>
  <c r="Q67" i="8"/>
  <c r="L67" i="8" s="1"/>
  <c r="H67" i="8"/>
  <c r="Q66" i="8"/>
  <c r="L66" i="8" s="1"/>
  <c r="H66" i="8"/>
  <c r="Q65" i="8"/>
  <c r="L65" i="8" s="1"/>
  <c r="I65" i="8" s="1"/>
  <c r="H65" i="8"/>
  <c r="Q64" i="8"/>
  <c r="L64" i="8"/>
  <c r="O64" i="8" s="1"/>
  <c r="I64" i="8"/>
  <c r="H64" i="8"/>
  <c r="Q63" i="8"/>
  <c r="L63" i="8" s="1"/>
  <c r="H63" i="8"/>
  <c r="Q62" i="8"/>
  <c r="L62" i="8" s="1"/>
  <c r="H62" i="8"/>
  <c r="Q61" i="8"/>
  <c r="L61" i="8"/>
  <c r="I61" i="8" s="1"/>
  <c r="H61" i="8"/>
  <c r="Q60" i="8"/>
  <c r="L60" i="8" s="1"/>
  <c r="H60" i="8"/>
  <c r="Q59" i="8"/>
  <c r="L59" i="8" s="1"/>
  <c r="H59" i="8"/>
  <c r="Q58" i="8"/>
  <c r="L58" i="8" s="1"/>
  <c r="H58" i="8"/>
  <c r="Q57" i="8"/>
  <c r="L57" i="8" s="1"/>
  <c r="I57" i="8" s="1"/>
  <c r="H57" i="8"/>
  <c r="Q56" i="8"/>
  <c r="L56" i="8" s="1"/>
  <c r="H56" i="8"/>
  <c r="Q55" i="8"/>
  <c r="L55" i="8" s="1"/>
  <c r="H55" i="8"/>
  <c r="Q54" i="8"/>
  <c r="L54" i="8" s="1"/>
  <c r="H54" i="8"/>
  <c r="Q53" i="8"/>
  <c r="L53" i="8" s="1"/>
  <c r="I53" i="8" s="1"/>
  <c r="H53" i="8"/>
  <c r="Q52" i="8"/>
  <c r="L52" i="8"/>
  <c r="O52" i="8" s="1"/>
  <c r="H52" i="8"/>
  <c r="Q51" i="8"/>
  <c r="L51" i="8" s="1"/>
  <c r="H51" i="8"/>
  <c r="Q50" i="8"/>
  <c r="L50" i="8" s="1"/>
  <c r="H50" i="8"/>
  <c r="Q49" i="8"/>
  <c r="L49" i="8" s="1"/>
  <c r="H49" i="8"/>
  <c r="Q48" i="8"/>
  <c r="L48" i="8" s="1"/>
  <c r="O48" i="8" s="1"/>
  <c r="H48" i="8"/>
  <c r="Q47" i="8"/>
  <c r="L47" i="8" s="1"/>
  <c r="H47" i="8"/>
  <c r="Q46" i="8"/>
  <c r="L46" i="8" s="1"/>
  <c r="H46" i="8"/>
  <c r="Q45" i="8"/>
  <c r="L45" i="8" s="1"/>
  <c r="I45" i="8" s="1"/>
  <c r="H45" i="8"/>
  <c r="Q44" i="8"/>
  <c r="L44" i="8" s="1"/>
  <c r="H44" i="8"/>
  <c r="Q43" i="8"/>
  <c r="L43" i="8" s="1"/>
  <c r="H43" i="8"/>
  <c r="Q42" i="8"/>
  <c r="L42" i="8" s="1"/>
  <c r="H42" i="8"/>
  <c r="Q41" i="8"/>
  <c r="L41" i="8" s="1"/>
  <c r="I41" i="8" s="1"/>
  <c r="H41" i="8"/>
  <c r="Q40" i="8"/>
  <c r="L40" i="8" s="1"/>
  <c r="H40" i="8"/>
  <c r="Q39" i="8"/>
  <c r="L39" i="8" s="1"/>
  <c r="H39" i="8"/>
  <c r="D39" i="8"/>
  <c r="D40" i="8" s="1"/>
  <c r="D41" i="8" s="1"/>
  <c r="D42" i="8" s="1"/>
  <c r="D43" i="8" s="1"/>
  <c r="D44" i="8" s="1"/>
  <c r="D45" i="8" s="1"/>
  <c r="D46" i="8" s="1"/>
  <c r="D47" i="8" s="1"/>
  <c r="D48" i="8" s="1"/>
  <c r="D49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D61" i="8" s="1"/>
  <c r="D62" i="8" s="1"/>
  <c r="D63" i="8" s="1"/>
  <c r="D64" i="8" s="1"/>
  <c r="D65" i="8" s="1"/>
  <c r="D66" i="8" s="1"/>
  <c r="D67" i="8" s="1"/>
  <c r="D68" i="8" s="1"/>
  <c r="L32" i="8"/>
  <c r="Q38" i="8"/>
  <c r="L38" i="8"/>
  <c r="O38" i="8" s="1"/>
  <c r="Q37" i="8"/>
  <c r="L37" i="8" s="1"/>
  <c r="O37" i="8" s="1"/>
  <c r="Q36" i="8"/>
  <c r="L36" i="8" s="1"/>
  <c r="O36" i="8" s="1"/>
  <c r="Q35" i="8"/>
  <c r="L35" i="8"/>
  <c r="O35" i="8" s="1"/>
  <c r="Q34" i="8"/>
  <c r="L34" i="8" s="1"/>
  <c r="O34" i="8" s="1"/>
  <c r="Q33" i="8"/>
  <c r="L33" i="8" s="1"/>
  <c r="O33" i="8" s="1"/>
  <c r="Q32" i="8"/>
  <c r="L31" i="8"/>
  <c r="L30" i="8"/>
  <c r="Q30" i="8"/>
  <c r="Q31" i="8"/>
  <c r="Q29" i="8"/>
  <c r="L29" i="8" s="1"/>
  <c r="I68" i="8" l="1"/>
  <c r="O60" i="8"/>
  <c r="I60" i="8"/>
  <c r="O56" i="8"/>
  <c r="I56" i="8"/>
  <c r="I52" i="8"/>
  <c r="I49" i="8"/>
  <c r="O49" i="8"/>
  <c r="I48" i="8"/>
  <c r="O44" i="8"/>
  <c r="I44" i="8"/>
  <c r="O40" i="8"/>
  <c r="I40" i="8"/>
  <c r="I66" i="8"/>
  <c r="O66" i="8"/>
  <c r="O46" i="8"/>
  <c r="I46" i="8"/>
  <c r="O55" i="8"/>
  <c r="I55" i="8"/>
  <c r="I62" i="8"/>
  <c r="O62" i="8"/>
  <c r="O39" i="8"/>
  <c r="I39" i="8"/>
  <c r="O47" i="8"/>
  <c r="I47" i="8"/>
  <c r="O54" i="8"/>
  <c r="I54" i="8"/>
  <c r="O63" i="8"/>
  <c r="I63" i="8"/>
  <c r="O43" i="8"/>
  <c r="I43" i="8"/>
  <c r="O50" i="8"/>
  <c r="I50" i="8"/>
  <c r="O59" i="8"/>
  <c r="I59" i="8"/>
  <c r="O42" i="8"/>
  <c r="I42" i="8"/>
  <c r="O51" i="8"/>
  <c r="I51" i="8"/>
  <c r="O58" i="8"/>
  <c r="I58" i="8"/>
  <c r="O67" i="8"/>
  <c r="I67" i="8"/>
  <c r="O41" i="8"/>
  <c r="O45" i="8"/>
  <c r="O57" i="8"/>
  <c r="O53" i="8"/>
  <c r="O61" i="8"/>
  <c r="O65" i="8"/>
  <c r="I38" i="8"/>
  <c r="H38" i="8"/>
  <c r="I37" i="8"/>
  <c r="X37" i="8" s="1"/>
  <c r="H37" i="8"/>
  <c r="H36" i="8"/>
  <c r="I35" i="8"/>
  <c r="W35" i="8" s="1"/>
  <c r="H35" i="8"/>
  <c r="I34" i="8"/>
  <c r="H34" i="8"/>
  <c r="I33" i="8"/>
  <c r="X33" i="8" s="1"/>
  <c r="H33" i="8"/>
  <c r="H32" i="8"/>
  <c r="H31" i="8"/>
  <c r="I30" i="8"/>
  <c r="H30" i="8"/>
  <c r="B31" i="8"/>
  <c r="B32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I29" i="8"/>
  <c r="X29" i="8" s="1"/>
  <c r="H29" i="8"/>
  <c r="B21" i="8"/>
  <c r="B22" i="8" s="1"/>
  <c r="B23" i="8" s="1"/>
  <c r="B24" i="8" s="1"/>
  <c r="B25" i="8" s="1"/>
  <c r="B26" i="8" s="1"/>
  <c r="B27" i="8" s="1"/>
  <c r="B28" i="8" s="1"/>
  <c r="AC20" i="8"/>
  <c r="AA18" i="8"/>
  <c r="AA19" i="8" s="1"/>
  <c r="Y20" i="8"/>
  <c r="Y21" i="8" s="1"/>
  <c r="L28" i="8"/>
  <c r="O28" i="8" s="1"/>
  <c r="L27" i="8"/>
  <c r="O27" i="8" s="1"/>
  <c r="L26" i="8"/>
  <c r="O26" i="8" s="1"/>
  <c r="L25" i="8"/>
  <c r="O25" i="8" s="1"/>
  <c r="L24" i="8"/>
  <c r="O24" i="8" s="1"/>
  <c r="L23" i="8"/>
  <c r="O23" i="8" s="1"/>
  <c r="L22" i="8"/>
  <c r="O22" i="8" s="1"/>
  <c r="L21" i="8"/>
  <c r="O21" i="8" s="1"/>
  <c r="L20" i="8"/>
  <c r="O20" i="8" s="1"/>
  <c r="L19" i="8"/>
  <c r="O19" i="8" s="1"/>
  <c r="L18" i="8"/>
  <c r="AA20" i="8" l="1"/>
  <c r="Z19" i="8"/>
  <c r="F18" i="8" s="1"/>
  <c r="H18" i="8" s="1"/>
  <c r="I31" i="8"/>
  <c r="W31" i="8" s="1"/>
  <c r="X30" i="8"/>
  <c r="W30" i="8"/>
  <c r="X34" i="8"/>
  <c r="W34" i="8"/>
  <c r="X38" i="8"/>
  <c r="W38" i="8"/>
  <c r="X31" i="8"/>
  <c r="I32" i="8"/>
  <c r="X35" i="8"/>
  <c r="I36" i="8"/>
  <c r="W29" i="8"/>
  <c r="W33" i="8"/>
  <c r="W37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AA21" i="8" l="1"/>
  <c r="Z20" i="8"/>
  <c r="F19" i="8" s="1"/>
  <c r="H19" i="8" s="1"/>
  <c r="X32" i="8"/>
  <c r="W32" i="8"/>
  <c r="W36" i="8"/>
  <c r="X36" i="8"/>
  <c r="I20" i="8"/>
  <c r="X28" i="8"/>
  <c r="X27" i="8"/>
  <c r="X26" i="8"/>
  <c r="X25" i="8"/>
  <c r="X24" i="8"/>
  <c r="X23" i="8"/>
  <c r="X22" i="8"/>
  <c r="X21" i="8"/>
  <c r="X20" i="8"/>
  <c r="D18" i="8"/>
  <c r="V18" i="8" l="1"/>
  <c r="D19" i="8"/>
  <c r="D20" i="8" s="1"/>
  <c r="D21" i="8" s="1"/>
  <c r="D22" i="8" s="1"/>
  <c r="D23" i="8" s="1"/>
  <c r="D24" i="8" s="1"/>
  <c r="D25" i="8" s="1"/>
  <c r="D26" i="8" s="1"/>
  <c r="D27" i="8" s="1"/>
  <c r="D28" i="8" s="1"/>
  <c r="D29" i="8" s="1"/>
  <c r="AA22" i="8"/>
  <c r="Z21" i="8"/>
  <c r="F20" i="8" s="1"/>
  <c r="H20" i="8" s="1"/>
  <c r="O18" i="8"/>
  <c r="K10" i="5"/>
  <c r="K9" i="5"/>
  <c r="K8" i="5"/>
  <c r="K7" i="5"/>
  <c r="K6" i="5"/>
  <c r="O5" i="5"/>
  <c r="X4" i="8"/>
  <c r="E4" i="8"/>
  <c r="L4" i="8" s="1"/>
  <c r="O4" i="8" s="1"/>
  <c r="P4" i="8" s="1"/>
  <c r="X15" i="8"/>
  <c r="X14" i="8"/>
  <c r="X13" i="8"/>
  <c r="X12" i="8"/>
  <c r="X11" i="8"/>
  <c r="X10" i="8"/>
  <c r="X9" i="8"/>
  <c r="X8" i="8"/>
  <c r="X7" i="8"/>
  <c r="G41" i="3"/>
  <c r="L41" i="3" s="1"/>
  <c r="K41" i="3" s="1"/>
  <c r="V4" i="8"/>
  <c r="F5" i="8"/>
  <c r="F6" i="8" s="1"/>
  <c r="F7" i="8" s="1"/>
  <c r="D5" i="8"/>
  <c r="D6" i="8" s="1"/>
  <c r="B5" i="8"/>
  <c r="B6" i="8" s="1"/>
  <c r="B7" i="8" s="1"/>
  <c r="B8" i="8" s="1"/>
  <c r="B9" i="8" s="1"/>
  <c r="B10" i="8" s="1"/>
  <c r="B11" i="8" s="1"/>
  <c r="B12" i="8" s="1"/>
  <c r="B13" i="8" s="1"/>
  <c r="B14" i="8" s="1"/>
  <c r="C28" i="3"/>
  <c r="C29" i="3" s="1"/>
  <c r="C30" i="3" s="1"/>
  <c r="R22" i="3"/>
  <c r="R21" i="3"/>
  <c r="R20" i="3"/>
  <c r="R19" i="3"/>
  <c r="R18" i="3"/>
  <c r="R17" i="3"/>
  <c r="R16" i="3"/>
  <c r="R15" i="3"/>
  <c r="R14" i="3"/>
  <c r="R13" i="3"/>
  <c r="R12" i="3"/>
  <c r="R3" i="3"/>
  <c r="J19" i="3"/>
  <c r="J18" i="3"/>
  <c r="J4" i="3"/>
  <c r="J5" i="3" s="1"/>
  <c r="J6" i="3" s="1"/>
  <c r="J7" i="3" s="1"/>
  <c r="J8" i="3" s="1"/>
  <c r="J9" i="3" s="1"/>
  <c r="J10" i="3" s="1"/>
  <c r="J11" i="3" s="1"/>
  <c r="E4" i="3"/>
  <c r="E5" i="3" s="1"/>
  <c r="E30" i="7"/>
  <c r="J21" i="7"/>
  <c r="D22" i="7"/>
  <c r="D23" i="7" s="1"/>
  <c r="I22" i="7"/>
  <c r="I23" i="7" s="1"/>
  <c r="I24" i="7" s="1"/>
  <c r="I25" i="7" s="1"/>
  <c r="I26" i="7" s="1"/>
  <c r="I30" i="7" s="1"/>
  <c r="I18" i="7"/>
  <c r="U16" i="7"/>
  <c r="U15" i="7"/>
  <c r="U14" i="7"/>
  <c r="U13" i="7"/>
  <c r="U12" i="7"/>
  <c r="U11" i="7"/>
  <c r="U10" i="7"/>
  <c r="U9" i="7"/>
  <c r="U8" i="7"/>
  <c r="I5" i="7"/>
  <c r="D5" i="7"/>
  <c r="K5" i="7" s="1"/>
  <c r="T7" i="7"/>
  <c r="V7" i="7" s="1"/>
  <c r="K14" i="7"/>
  <c r="G14" i="7" s="1"/>
  <c r="K8" i="7"/>
  <c r="K7" i="7"/>
  <c r="K6" i="7"/>
  <c r="J14" i="7"/>
  <c r="N14" i="7" s="1"/>
  <c r="P14" i="7" s="1"/>
  <c r="AB14" i="7" s="1"/>
  <c r="J8" i="7"/>
  <c r="F8" i="7" s="1"/>
  <c r="J7" i="7"/>
  <c r="N7" i="7" s="1"/>
  <c r="P7" i="7" s="1"/>
  <c r="J6" i="7"/>
  <c r="N6" i="7" s="1"/>
  <c r="R6" i="7" s="1"/>
  <c r="P6" i="7" s="1"/>
  <c r="AA6" i="7" s="1"/>
  <c r="A8" i="7"/>
  <c r="A4" i="7"/>
  <c r="D15" i="7"/>
  <c r="K15" i="7" s="1"/>
  <c r="G15" i="7" s="1"/>
  <c r="D30" i="8" l="1"/>
  <c r="V29" i="8"/>
  <c r="V19" i="8"/>
  <c r="H41" i="3"/>
  <c r="AA7" i="7"/>
  <c r="T8" i="7"/>
  <c r="V8" i="7" s="1"/>
  <c r="F6" i="7"/>
  <c r="F14" i="7"/>
  <c r="F7" i="7"/>
  <c r="R5" i="3"/>
  <c r="E6" i="3"/>
  <c r="G6" i="3" s="1"/>
  <c r="H6" i="3" s="1"/>
  <c r="K6" i="3" s="1"/>
  <c r="J23" i="7"/>
  <c r="D24" i="7"/>
  <c r="R4" i="3"/>
  <c r="J5" i="7"/>
  <c r="F5" i="7" s="1"/>
  <c r="J22" i="7"/>
  <c r="X5" i="8"/>
  <c r="AB7" i="7"/>
  <c r="A9" i="7"/>
  <c r="D9" i="7" s="1"/>
  <c r="K9" i="7" s="1"/>
  <c r="C31" i="3"/>
  <c r="L6" i="8"/>
  <c r="O6" i="8" s="1"/>
  <c r="P6" i="8" s="1"/>
  <c r="L5" i="8"/>
  <c r="O5" i="8" s="1"/>
  <c r="P5" i="8" s="1"/>
  <c r="X6" i="8"/>
  <c r="V5" i="8"/>
  <c r="H7" i="8"/>
  <c r="L7" i="8" s="1"/>
  <c r="O7" i="8" s="1"/>
  <c r="P7" i="8" s="1"/>
  <c r="F8" i="8"/>
  <c r="F9" i="8" s="1"/>
  <c r="F10" i="8" s="1"/>
  <c r="F11" i="8" s="1"/>
  <c r="F12" i="8" s="1"/>
  <c r="F13" i="8" s="1"/>
  <c r="D7" i="8"/>
  <c r="V6" i="8"/>
  <c r="L8" i="7"/>
  <c r="D17" i="7"/>
  <c r="N8" i="7"/>
  <c r="U7" i="7"/>
  <c r="V6" i="7"/>
  <c r="J15" i="7"/>
  <c r="AB6" i="7"/>
  <c r="L7" i="7"/>
  <c r="I10" i="7"/>
  <c r="G21" i="3"/>
  <c r="H21" i="3" s="1"/>
  <c r="K21" i="3" s="1"/>
  <c r="G20" i="3"/>
  <c r="L20" i="3" s="1"/>
  <c r="P20" i="3" s="1"/>
  <c r="G19" i="3"/>
  <c r="L19" i="3" s="1"/>
  <c r="P19" i="3" s="1"/>
  <c r="G18" i="3"/>
  <c r="H18" i="3" s="1"/>
  <c r="K18" i="3" s="1"/>
  <c r="G17" i="3"/>
  <c r="G16" i="3"/>
  <c r="G15" i="3"/>
  <c r="G14" i="3"/>
  <c r="G13" i="3"/>
  <c r="G12" i="3"/>
  <c r="G5" i="3"/>
  <c r="H5" i="3" s="1"/>
  <c r="K5" i="3" s="1"/>
  <c r="G4" i="3"/>
  <c r="L4" i="3" s="1"/>
  <c r="P4" i="3" s="1"/>
  <c r="G3" i="3"/>
  <c r="S3" i="3" s="1"/>
  <c r="D31" i="8" l="1"/>
  <c r="V30" i="8"/>
  <c r="V20" i="8"/>
  <c r="W20" i="8"/>
  <c r="H3" i="3"/>
  <c r="K3" i="3" s="1"/>
  <c r="A10" i="7"/>
  <c r="L21" i="3"/>
  <c r="P21" i="3" s="1"/>
  <c r="T9" i="7"/>
  <c r="T10" i="7" s="1"/>
  <c r="T11" i="7" s="1"/>
  <c r="T12" i="7" s="1"/>
  <c r="T13" i="7" s="1"/>
  <c r="T14" i="7" s="1"/>
  <c r="T15" i="7" s="1"/>
  <c r="T16" i="7" s="1"/>
  <c r="V16" i="7" s="1"/>
  <c r="L15" i="7"/>
  <c r="F15" i="7"/>
  <c r="H19" i="3"/>
  <c r="K19" i="3" s="1"/>
  <c r="V11" i="7"/>
  <c r="L6" i="7"/>
  <c r="P8" i="7"/>
  <c r="AB8" i="7" s="1"/>
  <c r="J15" i="3"/>
  <c r="L15" i="3" s="1"/>
  <c r="P15" i="3" s="1"/>
  <c r="H20" i="3"/>
  <c r="K20" i="3" s="1"/>
  <c r="R6" i="3"/>
  <c r="E7" i="3"/>
  <c r="J12" i="3"/>
  <c r="L12" i="3" s="1"/>
  <c r="P12" i="3" s="1"/>
  <c r="H12" i="3"/>
  <c r="V13" i="7"/>
  <c r="H14" i="3"/>
  <c r="J14" i="3"/>
  <c r="L14" i="3" s="1"/>
  <c r="P14" i="3" s="1"/>
  <c r="J16" i="3"/>
  <c r="L16" i="3" s="1"/>
  <c r="P16" i="3" s="1"/>
  <c r="H13" i="3"/>
  <c r="J13" i="3"/>
  <c r="L13" i="3" s="1"/>
  <c r="P13" i="3" s="1"/>
  <c r="H17" i="3"/>
  <c r="J17" i="3"/>
  <c r="L17" i="3" s="1"/>
  <c r="P17" i="3" s="1"/>
  <c r="H15" i="3"/>
  <c r="L5" i="3"/>
  <c r="P5" i="3" s="1"/>
  <c r="V15" i="7"/>
  <c r="C32" i="3"/>
  <c r="J24" i="7"/>
  <c r="D25" i="7"/>
  <c r="H10" i="8"/>
  <c r="L10" i="8" s="1"/>
  <c r="O10" i="8" s="1"/>
  <c r="P10" i="8" s="1"/>
  <c r="H9" i="8"/>
  <c r="L9" i="8" s="1"/>
  <c r="O9" i="8" s="1"/>
  <c r="P9" i="8" s="1"/>
  <c r="H8" i="8"/>
  <c r="L8" i="8" s="1"/>
  <c r="O8" i="8" s="1"/>
  <c r="P8" i="8" s="1"/>
  <c r="H13" i="8"/>
  <c r="L13" i="8" s="1"/>
  <c r="O13" i="8" s="1"/>
  <c r="P13" i="8" s="1"/>
  <c r="F14" i="8"/>
  <c r="H12" i="8"/>
  <c r="L12" i="8" s="1"/>
  <c r="O12" i="8" s="1"/>
  <c r="P12" i="8" s="1"/>
  <c r="H11" i="8"/>
  <c r="L11" i="8" s="1"/>
  <c r="O11" i="8" s="1"/>
  <c r="P11" i="8" s="1"/>
  <c r="D8" i="8"/>
  <c r="V7" i="8"/>
  <c r="H16" i="3"/>
  <c r="H4" i="3"/>
  <c r="K4" i="3" s="1"/>
  <c r="L3" i="3"/>
  <c r="P3" i="3" s="1"/>
  <c r="D10" i="7"/>
  <c r="A11" i="7"/>
  <c r="J17" i="7"/>
  <c r="K17" i="7"/>
  <c r="J9" i="7"/>
  <c r="N15" i="7"/>
  <c r="P15" i="7" s="1"/>
  <c r="I11" i="7"/>
  <c r="L6" i="3"/>
  <c r="P6" i="3" s="1"/>
  <c r="L18" i="3"/>
  <c r="P18" i="3" s="1"/>
  <c r="D32" i="8" l="1"/>
  <c r="V31" i="8"/>
  <c r="W21" i="8"/>
  <c r="V21" i="8"/>
  <c r="AA14" i="7"/>
  <c r="V10" i="7"/>
  <c r="K12" i="3"/>
  <c r="V12" i="7"/>
  <c r="V14" i="7"/>
  <c r="V9" i="7"/>
  <c r="K16" i="3"/>
  <c r="N9" i="7"/>
  <c r="P9" i="7" s="1"/>
  <c r="AB9" i="7" s="1"/>
  <c r="F9" i="7"/>
  <c r="K18" i="7"/>
  <c r="G17" i="7"/>
  <c r="F17" i="7" s="1"/>
  <c r="J25" i="7"/>
  <c r="D26" i="7"/>
  <c r="K15" i="3"/>
  <c r="K13" i="3"/>
  <c r="K14" i="3"/>
  <c r="C33" i="3"/>
  <c r="K17" i="3"/>
  <c r="R7" i="3"/>
  <c r="E8" i="3"/>
  <c r="G7" i="3"/>
  <c r="AA8" i="7"/>
  <c r="W12" i="8"/>
  <c r="W13" i="8"/>
  <c r="F15" i="8"/>
  <c r="H14" i="8"/>
  <c r="L14" i="8" s="1"/>
  <c r="O14" i="8" s="1"/>
  <c r="P14" i="8" s="1"/>
  <c r="V8" i="8"/>
  <c r="D9" i="8"/>
  <c r="K10" i="7"/>
  <c r="J10" i="7"/>
  <c r="F10" i="7" s="1"/>
  <c r="A12" i="7"/>
  <c r="D11" i="7"/>
  <c r="N17" i="7"/>
  <c r="AB15" i="7"/>
  <c r="AA15" i="7"/>
  <c r="L9" i="7"/>
  <c r="I12" i="7"/>
  <c r="B5" i="3"/>
  <c r="B6" i="3" s="1"/>
  <c r="B7" i="3" s="1"/>
  <c r="B8" i="3" s="1"/>
  <c r="B9" i="3" s="1"/>
  <c r="B10" i="3" s="1"/>
  <c r="B11" i="3" s="1"/>
  <c r="B13" i="3" s="1"/>
  <c r="B14" i="3" s="1"/>
  <c r="V32" i="8" l="1"/>
  <c r="D33" i="8"/>
  <c r="W22" i="8"/>
  <c r="V22" i="8"/>
  <c r="AA9" i="7"/>
  <c r="L7" i="3"/>
  <c r="P7" i="3" s="1"/>
  <c r="H7" i="3"/>
  <c r="K7" i="3" s="1"/>
  <c r="C34" i="3"/>
  <c r="E9" i="3"/>
  <c r="R8" i="3"/>
  <c r="G8" i="3"/>
  <c r="D27" i="7"/>
  <c r="J26" i="7"/>
  <c r="W14" i="8"/>
  <c r="H15" i="8"/>
  <c r="L15" i="8" s="1"/>
  <c r="O15" i="8" s="1"/>
  <c r="P15" i="8" s="1"/>
  <c r="V9" i="8"/>
  <c r="D10" i="8"/>
  <c r="N10" i="7"/>
  <c r="P10" i="7" s="1"/>
  <c r="AA10" i="7" s="1"/>
  <c r="L10" i="7"/>
  <c r="D12" i="7"/>
  <c r="A13" i="7"/>
  <c r="J11" i="7"/>
  <c r="F11" i="7" s="1"/>
  <c r="K11" i="7"/>
  <c r="I13" i="7"/>
  <c r="B15" i="3"/>
  <c r="B16" i="3" s="1"/>
  <c r="B17" i="3" s="1"/>
  <c r="B18" i="3" s="1"/>
  <c r="B19" i="3" s="1"/>
  <c r="B20" i="3" s="1"/>
  <c r="B21" i="3" s="1"/>
  <c r="M27" i="4"/>
  <c r="M25" i="4"/>
  <c r="M21" i="4"/>
  <c r="M17" i="4"/>
  <c r="M15" i="4"/>
  <c r="M36" i="4"/>
  <c r="M35" i="4"/>
  <c r="M34" i="4"/>
  <c r="M33" i="4"/>
  <c r="M32" i="4"/>
  <c r="M31" i="4"/>
  <c r="M30" i="4"/>
  <c r="M29" i="4"/>
  <c r="M24" i="4"/>
  <c r="M23" i="4"/>
  <c r="M20" i="4"/>
  <c r="M19" i="4"/>
  <c r="M14" i="4"/>
  <c r="M13" i="4"/>
  <c r="M12" i="4"/>
  <c r="M11" i="4"/>
  <c r="M10" i="4"/>
  <c r="D4" i="4"/>
  <c r="D8" i="4"/>
  <c r="D7" i="4"/>
  <c r="D6" i="4"/>
  <c r="D3" i="4"/>
  <c r="V33" i="8" l="1"/>
  <c r="D34" i="8"/>
  <c r="W23" i="8"/>
  <c r="V23" i="8"/>
  <c r="D28" i="7"/>
  <c r="J27" i="7"/>
  <c r="L8" i="3"/>
  <c r="P8" i="3" s="1"/>
  <c r="H8" i="3"/>
  <c r="K8" i="3" s="1"/>
  <c r="C35" i="3"/>
  <c r="R9" i="3"/>
  <c r="E10" i="3"/>
  <c r="G9" i="3"/>
  <c r="W15" i="8"/>
  <c r="V10" i="8"/>
  <c r="D11" i="8"/>
  <c r="J12" i="7"/>
  <c r="F12" i="7" s="1"/>
  <c r="K12" i="7"/>
  <c r="G12" i="7" s="1"/>
  <c r="D13" i="7"/>
  <c r="A14" i="7"/>
  <c r="A15" i="7" s="1"/>
  <c r="L11" i="7"/>
  <c r="N11" i="7"/>
  <c r="P11" i="7" s="1"/>
  <c r="AB10" i="7"/>
  <c r="D41" i="5"/>
  <c r="D36" i="5"/>
  <c r="D35" i="5"/>
  <c r="D34" i="5"/>
  <c r="D23" i="5"/>
  <c r="X24" i="5"/>
  <c r="D24" i="5" s="1"/>
  <c r="X17" i="5"/>
  <c r="X22" i="5" s="1"/>
  <c r="D22" i="5" s="1"/>
  <c r="Z17" i="5"/>
  <c r="Z41" i="5" s="1"/>
  <c r="D40" i="5" s="1"/>
  <c r="Y17" i="5"/>
  <c r="U5" i="5"/>
  <c r="N13" i="5"/>
  <c r="N8" i="5"/>
  <c r="Y14" i="5"/>
  <c r="Y15" i="5" s="1"/>
  <c r="N15" i="5" s="1"/>
  <c r="Y9" i="5"/>
  <c r="N9" i="5" s="1"/>
  <c r="O9" i="5" s="1"/>
  <c r="Z3" i="5"/>
  <c r="Y3" i="5"/>
  <c r="Y12" i="5" s="1"/>
  <c r="N12" i="5" s="1"/>
  <c r="X3" i="5"/>
  <c r="X15" i="5" s="1"/>
  <c r="D35" i="8" l="1"/>
  <c r="V34" i="8"/>
  <c r="V24" i="8"/>
  <c r="W24" i="8"/>
  <c r="X14" i="5"/>
  <c r="D14" i="5" s="1"/>
  <c r="X6" i="5"/>
  <c r="U6" i="5" s="1"/>
  <c r="E11" i="3"/>
  <c r="R10" i="3"/>
  <c r="G10" i="3"/>
  <c r="C36" i="3"/>
  <c r="H9" i="3"/>
  <c r="K9" i="3" s="1"/>
  <c r="L9" i="3"/>
  <c r="P9" i="3" s="1"/>
  <c r="D29" i="7"/>
  <c r="J29" i="7" s="1"/>
  <c r="M29" i="7" s="1"/>
  <c r="Q30" i="7" s="1"/>
  <c r="D30" i="7"/>
  <c r="J30" i="7" s="1"/>
  <c r="M30" i="7" s="1"/>
  <c r="J28" i="7"/>
  <c r="M28" i="7" s="1"/>
  <c r="Q29" i="7" s="1"/>
  <c r="V11" i="8"/>
  <c r="D12" i="8"/>
  <c r="N12" i="7"/>
  <c r="P12" i="7" s="1"/>
  <c r="AA12" i="7" s="1"/>
  <c r="L12" i="7"/>
  <c r="A17" i="7"/>
  <c r="A16" i="7"/>
  <c r="D16" i="7" s="1"/>
  <c r="J13" i="7"/>
  <c r="K13" i="7"/>
  <c r="G13" i="7" s="1"/>
  <c r="AB11" i="7"/>
  <c r="AA11" i="7"/>
  <c r="Y5" i="5"/>
  <c r="N5" i="5" s="1"/>
  <c r="S5" i="5" s="1"/>
  <c r="X19" i="5"/>
  <c r="D19" i="5" s="1"/>
  <c r="F19" i="5" s="1"/>
  <c r="X21" i="5"/>
  <c r="D21" i="5" s="1"/>
  <c r="F21" i="5" s="1"/>
  <c r="O8" i="5"/>
  <c r="Y6" i="5"/>
  <c r="N6" i="5" s="1"/>
  <c r="V6" i="5" s="1"/>
  <c r="N14" i="5"/>
  <c r="X13" i="5"/>
  <c r="D13" i="5" s="1"/>
  <c r="F13" i="5" s="1"/>
  <c r="Y10" i="5"/>
  <c r="X20" i="5"/>
  <c r="D20" i="5" s="1"/>
  <c r="F20" i="5" s="1"/>
  <c r="U20" i="5" s="1"/>
  <c r="X25" i="5"/>
  <c r="AE37" i="4"/>
  <c r="AE36" i="4"/>
  <c r="AE35" i="4"/>
  <c r="AE34" i="4"/>
  <c r="AE33" i="4"/>
  <c r="AE32" i="4"/>
  <c r="AE31" i="4"/>
  <c r="AE30" i="4"/>
  <c r="AE29" i="4"/>
  <c r="AE22" i="4"/>
  <c r="AE15" i="4"/>
  <c r="AE14" i="4"/>
  <c r="AE13" i="4"/>
  <c r="AE12" i="4"/>
  <c r="AE11" i="4"/>
  <c r="AE10" i="4"/>
  <c r="AE9" i="4"/>
  <c r="AE8" i="4"/>
  <c r="AE7" i="4"/>
  <c r="AE6" i="4"/>
  <c r="AE4" i="4"/>
  <c r="AE3" i="4"/>
  <c r="Y18" i="4"/>
  <c r="U33" i="3"/>
  <c r="U32" i="3"/>
  <c r="U31" i="3"/>
  <c r="U30" i="3"/>
  <c r="U29" i="3"/>
  <c r="U28" i="3"/>
  <c r="U27" i="3"/>
  <c r="U26" i="3"/>
  <c r="U25" i="3"/>
  <c r="U24" i="3"/>
  <c r="U23" i="3"/>
  <c r="U22" i="3"/>
  <c r="A7" i="6"/>
  <c r="I5" i="6"/>
  <c r="E5" i="6"/>
  <c r="B5" i="6" s="1"/>
  <c r="A8" i="6" s="1"/>
  <c r="F41" i="5"/>
  <c r="K41" i="5" s="1"/>
  <c r="F40" i="5"/>
  <c r="N39" i="5"/>
  <c r="N40" i="5" s="1"/>
  <c r="N41" i="5" s="1"/>
  <c r="U41" i="5" s="1"/>
  <c r="F36" i="5"/>
  <c r="F34" i="5"/>
  <c r="U34" i="5" s="1"/>
  <c r="B25" i="5"/>
  <c r="B26" i="5" s="1"/>
  <c r="B27" i="5" s="1"/>
  <c r="B28" i="5" s="1"/>
  <c r="B29" i="5" s="1"/>
  <c r="F24" i="5"/>
  <c r="U24" i="5" s="1"/>
  <c r="F23" i="5"/>
  <c r="F22" i="5"/>
  <c r="F15" i="5"/>
  <c r="F14" i="5"/>
  <c r="R13" i="5"/>
  <c r="R14" i="5" s="1"/>
  <c r="R15" i="5" s="1"/>
  <c r="M13" i="5"/>
  <c r="V9" i="5"/>
  <c r="V8" i="5"/>
  <c r="B7" i="5"/>
  <c r="V5" i="5"/>
  <c r="V35" i="8" l="1"/>
  <c r="D36" i="8"/>
  <c r="W25" i="8"/>
  <c r="V25" i="8"/>
  <c r="F13" i="7"/>
  <c r="AB12" i="7"/>
  <c r="O6" i="5"/>
  <c r="P5" i="5" s="1"/>
  <c r="H10" i="3"/>
  <c r="K10" i="3" s="1"/>
  <c r="L10" i="3"/>
  <c r="P10" i="3" s="1"/>
  <c r="C37" i="3"/>
  <c r="R11" i="3"/>
  <c r="G11" i="3"/>
  <c r="V12" i="8"/>
  <c r="D13" i="8"/>
  <c r="J16" i="7"/>
  <c r="K16" i="7"/>
  <c r="G16" i="7" s="1"/>
  <c r="L14" i="7"/>
  <c r="L13" i="7"/>
  <c r="N13" i="7"/>
  <c r="P13" i="7" s="1"/>
  <c r="AA13" i="7" s="1"/>
  <c r="N20" i="5"/>
  <c r="V20" i="5" s="1"/>
  <c r="J13" i="5"/>
  <c r="U15" i="5"/>
  <c r="J15" i="5"/>
  <c r="K15" i="5" s="1"/>
  <c r="O15" i="5" s="1"/>
  <c r="B30" i="5"/>
  <c r="Y29" i="5"/>
  <c r="D29" i="5" s="1"/>
  <c r="F29" i="5" s="1"/>
  <c r="U29" i="5" s="1"/>
  <c r="Y7" i="5"/>
  <c r="N7" i="5" s="1"/>
  <c r="O7" i="5" s="1"/>
  <c r="X7" i="5"/>
  <c r="D7" i="5" s="1"/>
  <c r="U7" i="5" s="1"/>
  <c r="B8" i="5"/>
  <c r="J14" i="5"/>
  <c r="K14" i="5" s="1"/>
  <c r="K20" i="5"/>
  <c r="D25" i="5"/>
  <c r="F25" i="5" s="1"/>
  <c r="U25" i="5" s="1"/>
  <c r="X26" i="5"/>
  <c r="N10" i="5"/>
  <c r="O10" i="5" s="1"/>
  <c r="S10" i="5" s="1"/>
  <c r="Y11" i="5"/>
  <c r="N11" i="5" s="1"/>
  <c r="S8" i="5"/>
  <c r="S9" i="5"/>
  <c r="V15" i="5"/>
  <c r="N23" i="5"/>
  <c r="V23" i="5" s="1"/>
  <c r="K34" i="5"/>
  <c r="F35" i="5"/>
  <c r="K35" i="5" s="1"/>
  <c r="K23" i="5"/>
  <c r="N24" i="5"/>
  <c r="O24" i="5" s="1"/>
  <c r="S24" i="5" s="1"/>
  <c r="N25" i="5"/>
  <c r="O25" i="5" s="1"/>
  <c r="S25" i="5" s="1"/>
  <c r="F5" i="6"/>
  <c r="F6" i="6" s="1"/>
  <c r="C6" i="6" s="1"/>
  <c r="V10" i="5"/>
  <c r="U23" i="5"/>
  <c r="N34" i="5"/>
  <c r="V34" i="5" s="1"/>
  <c r="V13" i="5"/>
  <c r="U13" i="5"/>
  <c r="N36" i="5"/>
  <c r="O36" i="5" s="1"/>
  <c r="S36" i="5" s="1"/>
  <c r="U36" i="5"/>
  <c r="K36" i="5"/>
  <c r="U21" i="5"/>
  <c r="K21" i="5"/>
  <c r="N21" i="5"/>
  <c r="O21" i="5" s="1"/>
  <c r="S21" i="5" s="1"/>
  <c r="O40" i="5"/>
  <c r="S40" i="5" s="1"/>
  <c r="U22" i="5"/>
  <c r="N22" i="5"/>
  <c r="O22" i="5" s="1"/>
  <c r="S22" i="5" s="1"/>
  <c r="K22" i="5"/>
  <c r="V14" i="5"/>
  <c r="U14" i="5"/>
  <c r="O41" i="5"/>
  <c r="S41" i="5" s="1"/>
  <c r="U35" i="5"/>
  <c r="K40" i="5"/>
  <c r="K19" i="5"/>
  <c r="U19" i="5"/>
  <c r="N35" i="5"/>
  <c r="V35" i="5" s="1"/>
  <c r="V40" i="5"/>
  <c r="U40" i="5"/>
  <c r="N19" i="5"/>
  <c r="O19" i="5" s="1"/>
  <c r="S19" i="5" s="1"/>
  <c r="K24" i="5"/>
  <c r="S6" i="5" l="1"/>
  <c r="V36" i="8"/>
  <c r="D37" i="8"/>
  <c r="V26" i="8"/>
  <c r="W26" i="8"/>
  <c r="N29" i="5"/>
  <c r="V29" i="5" s="1"/>
  <c r="K13" i="5"/>
  <c r="O13" i="5" s="1"/>
  <c r="F7" i="6"/>
  <c r="F8" i="6" s="1"/>
  <c r="O14" i="5"/>
  <c r="S14" i="5" s="1"/>
  <c r="L17" i="7"/>
  <c r="F16" i="7"/>
  <c r="P15" i="5"/>
  <c r="S15" i="5"/>
  <c r="L11" i="3"/>
  <c r="P11" i="3" s="1"/>
  <c r="H11" i="3"/>
  <c r="K11" i="3" s="1"/>
  <c r="C38" i="3"/>
  <c r="V13" i="8"/>
  <c r="D14" i="8"/>
  <c r="L16" i="7"/>
  <c r="L18" i="7" s="1"/>
  <c r="N16" i="7"/>
  <c r="P16" i="7" s="1"/>
  <c r="AA16" i="7" s="1"/>
  <c r="AB13" i="7"/>
  <c r="P6" i="5"/>
  <c r="P7" i="5"/>
  <c r="K29" i="5"/>
  <c r="K25" i="5"/>
  <c r="V21" i="5"/>
  <c r="O20" i="5"/>
  <c r="S20" i="5" s="1"/>
  <c r="V22" i="5"/>
  <c r="V36" i="5"/>
  <c r="D26" i="5"/>
  <c r="F26" i="5" s="1"/>
  <c r="X27" i="5"/>
  <c r="B31" i="5"/>
  <c r="Y30" i="5"/>
  <c r="D30" i="5" s="1"/>
  <c r="F30" i="5" s="1"/>
  <c r="B9" i="5"/>
  <c r="P8" i="5" s="1"/>
  <c r="X8" i="5"/>
  <c r="D8" i="5" s="1"/>
  <c r="U8" i="5" s="1"/>
  <c r="V7" i="5"/>
  <c r="S7" i="5"/>
  <c r="O34" i="5"/>
  <c r="S34" i="5" s="1"/>
  <c r="O35" i="5"/>
  <c r="S35" i="5" s="1"/>
  <c r="V25" i="5"/>
  <c r="O29" i="5"/>
  <c r="S29" i="5" s="1"/>
  <c r="V24" i="5"/>
  <c r="O23" i="5"/>
  <c r="S23" i="5" s="1"/>
  <c r="I6" i="6"/>
  <c r="V19" i="5"/>
  <c r="V37" i="8" l="1"/>
  <c r="D38" i="8"/>
  <c r="V38" i="8" s="1"/>
  <c r="W27" i="8"/>
  <c r="V27" i="8"/>
  <c r="S13" i="5"/>
  <c r="P13" i="5"/>
  <c r="C7" i="6"/>
  <c r="C8" i="6" s="1"/>
  <c r="I8" i="6" s="1"/>
  <c r="P14" i="5"/>
  <c r="AB16" i="7"/>
  <c r="C39" i="3"/>
  <c r="D15" i="8"/>
  <c r="V15" i="8" s="1"/>
  <c r="V14" i="8"/>
  <c r="K30" i="5"/>
  <c r="U30" i="5"/>
  <c r="N30" i="5"/>
  <c r="D27" i="5"/>
  <c r="F27" i="5" s="1"/>
  <c r="X28" i="5"/>
  <c r="D28" i="5" s="1"/>
  <c r="F28" i="5" s="1"/>
  <c r="B10" i="5"/>
  <c r="P9" i="5" s="1"/>
  <c r="X9" i="5"/>
  <c r="D9" i="5" s="1"/>
  <c r="U9" i="5" s="1"/>
  <c r="B32" i="5"/>
  <c r="Y31" i="5"/>
  <c r="D31" i="5" s="1"/>
  <c r="F31" i="5" s="1"/>
  <c r="U26" i="5"/>
  <c r="N26" i="5"/>
  <c r="K26" i="5"/>
  <c r="I7" i="6"/>
  <c r="V28" i="8" l="1"/>
  <c r="W28" i="8"/>
  <c r="C40" i="3"/>
  <c r="C41" i="3" s="1"/>
  <c r="R41" i="3" s="1"/>
  <c r="B33" i="5"/>
  <c r="Y32" i="5"/>
  <c r="D32" i="5" s="1"/>
  <c r="F32" i="5" s="1"/>
  <c r="B11" i="5"/>
  <c r="X10" i="5"/>
  <c r="D10" i="5" s="1"/>
  <c r="U10" i="5" s="1"/>
  <c r="U27" i="5"/>
  <c r="N27" i="5"/>
  <c r="V27" i="5" s="1"/>
  <c r="K27" i="5"/>
  <c r="O26" i="5"/>
  <c r="S26" i="5" s="1"/>
  <c r="V26" i="5"/>
  <c r="K31" i="5"/>
  <c r="U31" i="5"/>
  <c r="N31" i="5"/>
  <c r="V31" i="5" s="1"/>
  <c r="N28" i="5"/>
  <c r="V28" i="5" s="1"/>
  <c r="K28" i="5"/>
  <c r="U28" i="5"/>
  <c r="V30" i="5"/>
  <c r="O30" i="5"/>
  <c r="S30" i="5" s="1"/>
  <c r="AD37" i="4"/>
  <c r="AD36" i="4"/>
  <c r="AD35" i="4"/>
  <c r="AD34" i="4"/>
  <c r="AD33" i="4"/>
  <c r="AD32" i="4"/>
  <c r="AD31" i="4"/>
  <c r="AD30" i="4"/>
  <c r="AD29" i="4"/>
  <c r="AD22" i="4"/>
  <c r="AD15" i="4"/>
  <c r="AD14" i="4"/>
  <c r="AD13" i="4"/>
  <c r="AD12" i="4"/>
  <c r="AD11" i="4"/>
  <c r="AD10" i="4"/>
  <c r="AD9" i="4"/>
  <c r="AD8" i="4"/>
  <c r="AD7" i="4"/>
  <c r="AD6" i="4"/>
  <c r="AD4" i="4"/>
  <c r="AD3" i="4"/>
  <c r="AC9" i="4"/>
  <c r="AC8" i="4"/>
  <c r="AC7" i="4"/>
  <c r="AC6" i="4"/>
  <c r="AC4" i="4"/>
  <c r="AC3" i="4"/>
  <c r="AB9" i="4"/>
  <c r="AB8" i="4"/>
  <c r="AB7" i="4"/>
  <c r="AB6" i="4"/>
  <c r="AB4" i="4"/>
  <c r="AB3" i="4"/>
  <c r="AA9" i="4"/>
  <c r="AA8" i="4"/>
  <c r="AA7" i="4"/>
  <c r="AA6" i="4"/>
  <c r="AA4" i="4"/>
  <c r="AA3" i="4"/>
  <c r="U32" i="5" l="1"/>
  <c r="K32" i="5"/>
  <c r="N32" i="5"/>
  <c r="V32" i="5" s="1"/>
  <c r="O28" i="5"/>
  <c r="S28" i="5" s="1"/>
  <c r="O31" i="5"/>
  <c r="S31" i="5" s="1"/>
  <c r="O27" i="5"/>
  <c r="S27" i="5" s="1"/>
  <c r="B12" i="5"/>
  <c r="X12" i="5" s="1"/>
  <c r="D12" i="5" s="1"/>
  <c r="F12" i="5" s="1"/>
  <c r="X11" i="5"/>
  <c r="D11" i="5" s="1"/>
  <c r="F11" i="5" s="1"/>
  <c r="B34" i="5"/>
  <c r="B35" i="5" s="1"/>
  <c r="B36" i="5" s="1"/>
  <c r="B37" i="5" s="1"/>
  <c r="B38" i="5" s="1"/>
  <c r="Y33" i="5"/>
  <c r="D33" i="5" s="1"/>
  <c r="F33" i="5" s="1"/>
  <c r="P29" i="4"/>
  <c r="O32" i="5" l="1"/>
  <c r="S32" i="5" s="1"/>
  <c r="T29" i="4"/>
  <c r="B39" i="5"/>
  <c r="Z38" i="5"/>
  <c r="D37" i="5" s="1"/>
  <c r="F37" i="5" s="1"/>
  <c r="J12" i="5"/>
  <c r="U12" i="5"/>
  <c r="V12" i="5"/>
  <c r="K33" i="5"/>
  <c r="U33" i="5"/>
  <c r="N33" i="5"/>
  <c r="V33" i="5" s="1"/>
  <c r="V11" i="5"/>
  <c r="J11" i="5"/>
  <c r="K11" i="5" s="1"/>
  <c r="U11" i="5"/>
  <c r="P37" i="4"/>
  <c r="P36" i="4"/>
  <c r="P35" i="4"/>
  <c r="P34" i="4"/>
  <c r="P33" i="4"/>
  <c r="P32" i="4"/>
  <c r="P31" i="4"/>
  <c r="P30" i="4"/>
  <c r="P27" i="4"/>
  <c r="P25" i="4"/>
  <c r="P24" i="4"/>
  <c r="P23" i="4"/>
  <c r="P21" i="4"/>
  <c r="P20" i="4"/>
  <c r="P19" i="4"/>
  <c r="P17" i="4"/>
  <c r="P15" i="4"/>
  <c r="P14" i="4"/>
  <c r="P13" i="4"/>
  <c r="P12" i="4"/>
  <c r="P11" i="4"/>
  <c r="P10" i="4"/>
  <c r="O11" i="5" l="1"/>
  <c r="S11" i="5" s="1"/>
  <c r="K12" i="5"/>
  <c r="O12" i="5" s="1"/>
  <c r="O33" i="5"/>
  <c r="S33" i="5" s="1"/>
  <c r="T10" i="4"/>
  <c r="T12" i="4"/>
  <c r="T14" i="4"/>
  <c r="T30" i="4"/>
  <c r="T32" i="4"/>
  <c r="T34" i="4"/>
  <c r="T36" i="4"/>
  <c r="T11" i="4"/>
  <c r="T13" i="4"/>
  <c r="T15" i="4"/>
  <c r="T31" i="4"/>
  <c r="T33" i="4"/>
  <c r="T35" i="4"/>
  <c r="T37" i="4"/>
  <c r="Y29" i="4"/>
  <c r="U37" i="5"/>
  <c r="K37" i="5"/>
  <c r="N37" i="5"/>
  <c r="O37" i="5" s="1"/>
  <c r="S37" i="5" s="1"/>
  <c r="B40" i="5"/>
  <c r="Z40" i="5" s="1"/>
  <c r="D39" i="5" s="1"/>
  <c r="F39" i="5" s="1"/>
  <c r="Z39" i="5"/>
  <c r="D38" i="5" s="1"/>
  <c r="F38" i="5" s="1"/>
  <c r="A6" i="4"/>
  <c r="A7" i="4" s="1"/>
  <c r="A8" i="4" s="1"/>
  <c r="A9" i="4" s="1"/>
  <c r="A10" i="4" s="1"/>
  <c r="A11" i="4" s="1"/>
  <c r="A12" i="4" s="1"/>
  <c r="A13" i="4" s="1"/>
  <c r="A14" i="4" s="1"/>
  <c r="A15" i="4" s="1"/>
  <c r="A17" i="4" s="1"/>
  <c r="Q15" i="4" s="1"/>
  <c r="S12" i="5" l="1"/>
  <c r="P11" i="5"/>
  <c r="P12" i="5"/>
  <c r="P10" i="5"/>
  <c r="V37" i="5"/>
  <c r="Q13" i="4"/>
  <c r="Q12" i="4"/>
  <c r="Q14" i="4"/>
  <c r="Q10" i="4"/>
  <c r="Q11" i="4"/>
  <c r="Y37" i="4"/>
  <c r="Y35" i="4"/>
  <c r="Y33" i="4"/>
  <c r="Y31" i="4"/>
  <c r="Y15" i="4"/>
  <c r="U14" i="4"/>
  <c r="Y13" i="4"/>
  <c r="U12" i="4"/>
  <c r="Y11" i="4"/>
  <c r="U10" i="4"/>
  <c r="Y36" i="4"/>
  <c r="Y34" i="4"/>
  <c r="Y32" i="4"/>
  <c r="Y30" i="4"/>
  <c r="Y14" i="4"/>
  <c r="U13" i="4"/>
  <c r="Y12" i="4"/>
  <c r="U11" i="4"/>
  <c r="Y10" i="4"/>
  <c r="O38" i="5"/>
  <c r="S38" i="5" s="1"/>
  <c r="U38" i="5"/>
  <c r="K38" i="5"/>
  <c r="V38" i="5"/>
  <c r="O39" i="5"/>
  <c r="S39" i="5" s="1"/>
  <c r="U39" i="5"/>
  <c r="V39" i="5"/>
  <c r="K39" i="5"/>
  <c r="A19" i="4"/>
  <c r="Q17" i="4" s="1"/>
  <c r="S17" i="4"/>
  <c r="A24" i="3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8" i="3" s="1"/>
  <c r="A39" i="3" s="1"/>
  <c r="A40" i="3" s="1"/>
  <c r="A41" i="3" s="1"/>
  <c r="M41" i="3" s="1"/>
  <c r="T17" i="4" l="1"/>
  <c r="AE17" i="4"/>
  <c r="AD17" i="4"/>
  <c r="A20" i="4"/>
  <c r="Q19" i="4" s="1"/>
  <c r="S19" i="4"/>
  <c r="G22" i="3"/>
  <c r="E23" i="3"/>
  <c r="R23" i="3" s="1"/>
  <c r="Y17" i="4" l="1"/>
  <c r="U15" i="4"/>
  <c r="AE19" i="4"/>
  <c r="AD19" i="4"/>
  <c r="S22" i="3"/>
  <c r="T22" i="3"/>
  <c r="A21" i="4"/>
  <c r="Q20" i="4" s="1"/>
  <c r="S20" i="4"/>
  <c r="G23" i="3"/>
  <c r="E24" i="3"/>
  <c r="R24" i="3" s="1"/>
  <c r="H22" i="3"/>
  <c r="K22" i="3" s="1"/>
  <c r="T20" i="4" l="1"/>
  <c r="AE20" i="4"/>
  <c r="AD20" i="4"/>
  <c r="S23" i="3"/>
  <c r="T23" i="3"/>
  <c r="A23" i="4"/>
  <c r="Q21" i="4" s="1"/>
  <c r="S21" i="4"/>
  <c r="L23" i="3"/>
  <c r="H23" i="3"/>
  <c r="K23" i="3" s="1"/>
  <c r="E25" i="3"/>
  <c r="R25" i="3" s="1"/>
  <c r="G24" i="3"/>
  <c r="P23" i="3" l="1"/>
  <c r="Y20" i="4"/>
  <c r="T21" i="4"/>
  <c r="AE21" i="4"/>
  <c r="AD21" i="4"/>
  <c r="T24" i="3"/>
  <c r="S24" i="3"/>
  <c r="A24" i="4"/>
  <c r="Q23" i="4" s="1"/>
  <c r="S23" i="4"/>
  <c r="H24" i="3"/>
  <c r="K24" i="3" s="1"/>
  <c r="L24" i="3"/>
  <c r="G25" i="3"/>
  <c r="E26" i="3"/>
  <c r="R26" i="3" s="1"/>
  <c r="P24" i="3" l="1"/>
  <c r="M23" i="3"/>
  <c r="Y21" i="4"/>
  <c r="U20" i="4"/>
  <c r="T23" i="4"/>
  <c r="AE23" i="4"/>
  <c r="AD23" i="4"/>
  <c r="S25" i="3"/>
  <c r="T25" i="3"/>
  <c r="A25" i="4"/>
  <c r="Q24" i="4" s="1"/>
  <c r="S24" i="4"/>
  <c r="L25" i="3"/>
  <c r="H25" i="3"/>
  <c r="K25" i="3" s="1"/>
  <c r="G26" i="3"/>
  <c r="E27" i="3"/>
  <c r="R27" i="3" s="1"/>
  <c r="P25" i="3" l="1"/>
  <c r="M24" i="3"/>
  <c r="Y23" i="4"/>
  <c r="U21" i="4"/>
  <c r="T24" i="4"/>
  <c r="AE24" i="4"/>
  <c r="AD24" i="4"/>
  <c r="S26" i="3"/>
  <c r="T26" i="3"/>
  <c r="A27" i="4"/>
  <c r="Q25" i="4" s="1"/>
  <c r="S25" i="4"/>
  <c r="L26" i="3"/>
  <c r="H26" i="3"/>
  <c r="K26" i="3" s="1"/>
  <c r="G27" i="3"/>
  <c r="E28" i="3"/>
  <c r="R28" i="3" s="1"/>
  <c r="L22" i="3"/>
  <c r="P22" i="3" l="1"/>
  <c r="M22" i="3"/>
  <c r="P26" i="3"/>
  <c r="M25" i="3"/>
  <c r="Y24" i="4"/>
  <c r="U23" i="4"/>
  <c r="T25" i="4"/>
  <c r="AE25" i="4"/>
  <c r="AD25" i="4"/>
  <c r="S27" i="3"/>
  <c r="T27" i="3"/>
  <c r="S27" i="4"/>
  <c r="A29" i="4"/>
  <c r="L3" i="4"/>
  <c r="P3" i="4" s="1"/>
  <c r="T3" i="4" s="1"/>
  <c r="H3" i="4"/>
  <c r="L27" i="3"/>
  <c r="H27" i="3"/>
  <c r="K27" i="3" s="1"/>
  <c r="G28" i="3"/>
  <c r="E29" i="3"/>
  <c r="R29" i="3" s="1"/>
  <c r="P27" i="3" l="1"/>
  <c r="M26" i="3"/>
  <c r="A30" i="4"/>
  <c r="Q27" i="4"/>
  <c r="Y25" i="4"/>
  <c r="U24" i="4"/>
  <c r="T27" i="4"/>
  <c r="AE27" i="4"/>
  <c r="AD27" i="4"/>
  <c r="T28" i="3"/>
  <c r="S28" i="3"/>
  <c r="H4" i="4"/>
  <c r="L4" i="4"/>
  <c r="H28" i="3"/>
  <c r="K28" i="3" s="1"/>
  <c r="L28" i="3"/>
  <c r="G29" i="3"/>
  <c r="E30" i="3"/>
  <c r="R30" i="3" s="1"/>
  <c r="P28" i="3" l="1"/>
  <c r="M27" i="3"/>
  <c r="A31" i="4"/>
  <c r="Q29" i="4"/>
  <c r="U29" i="4"/>
  <c r="P4" i="4"/>
  <c r="T4" i="4" s="1"/>
  <c r="M3" i="4"/>
  <c r="Y27" i="4"/>
  <c r="U25" i="4"/>
  <c r="U27" i="4"/>
  <c r="Y3" i="4"/>
  <c r="S29" i="3"/>
  <c r="T29" i="3"/>
  <c r="L6" i="4"/>
  <c r="H6" i="4"/>
  <c r="H29" i="3"/>
  <c r="K29" i="3" s="1"/>
  <c r="L29" i="3"/>
  <c r="G30" i="3"/>
  <c r="E31" i="3"/>
  <c r="R31" i="3" s="1"/>
  <c r="A32" i="4" l="1"/>
  <c r="Q30" i="4"/>
  <c r="U30" i="4"/>
  <c r="P29" i="3"/>
  <c r="M28" i="3"/>
  <c r="P6" i="4"/>
  <c r="T6" i="4" s="1"/>
  <c r="M4" i="4"/>
  <c r="Q3" i="4"/>
  <c r="S30" i="3"/>
  <c r="T30" i="3"/>
  <c r="H8" i="4"/>
  <c r="L8" i="4"/>
  <c r="H7" i="4"/>
  <c r="L7" i="4"/>
  <c r="L30" i="3"/>
  <c r="H30" i="3"/>
  <c r="K30" i="3" s="1"/>
  <c r="E32" i="3"/>
  <c r="R32" i="3" s="1"/>
  <c r="G31" i="3"/>
  <c r="A33" i="4" l="1"/>
  <c r="Q31" i="4"/>
  <c r="U31" i="4"/>
  <c r="P30" i="3"/>
  <c r="M29" i="3"/>
  <c r="P7" i="4"/>
  <c r="M6" i="4"/>
  <c r="P8" i="4"/>
  <c r="M7" i="4"/>
  <c r="Y4" i="4"/>
  <c r="U3" i="4"/>
  <c r="Q4" i="4"/>
  <c r="S31" i="3"/>
  <c r="T31" i="3"/>
  <c r="L9" i="4"/>
  <c r="H9" i="4"/>
  <c r="L31" i="3"/>
  <c r="H31" i="3"/>
  <c r="K31" i="3" s="1"/>
  <c r="E33" i="3"/>
  <c r="R33" i="3" s="1"/>
  <c r="G32" i="3"/>
  <c r="V4" i="4" l="1"/>
  <c r="V3" i="4"/>
  <c r="P31" i="3"/>
  <c r="M30" i="3"/>
  <c r="A34" i="4"/>
  <c r="Q32" i="4"/>
  <c r="U32" i="4"/>
  <c r="P9" i="4"/>
  <c r="M8" i="4"/>
  <c r="Y6" i="4"/>
  <c r="U4" i="4"/>
  <c r="T8" i="4"/>
  <c r="Q7" i="4"/>
  <c r="T7" i="4"/>
  <c r="Q6" i="4"/>
  <c r="T32" i="3"/>
  <c r="S32" i="3"/>
  <c r="H32" i="3"/>
  <c r="K32" i="3" s="1"/>
  <c r="L32" i="3"/>
  <c r="G33" i="3"/>
  <c r="E34" i="3"/>
  <c r="R34" i="3" s="1"/>
  <c r="P32" i="3" l="1"/>
  <c r="M31" i="3"/>
  <c r="A35" i="4"/>
  <c r="Q33" i="4"/>
  <c r="U33" i="4"/>
  <c r="Y7" i="4"/>
  <c r="U6" i="4"/>
  <c r="Y8" i="4"/>
  <c r="U7" i="4"/>
  <c r="T9" i="4"/>
  <c r="Q8" i="4"/>
  <c r="Q9" i="4"/>
  <c r="S33" i="3"/>
  <c r="T33" i="3"/>
  <c r="L33" i="3"/>
  <c r="H33" i="3"/>
  <c r="K33" i="3" s="1"/>
  <c r="E35" i="3"/>
  <c r="R35" i="3" s="1"/>
  <c r="G34" i="3"/>
  <c r="A36" i="4" l="1"/>
  <c r="Q34" i="4"/>
  <c r="U34" i="4"/>
  <c r="P33" i="3"/>
  <c r="M32" i="3"/>
  <c r="Y9" i="4"/>
  <c r="U8" i="4"/>
  <c r="U9" i="4"/>
  <c r="S34" i="3"/>
  <c r="T34" i="3"/>
  <c r="L34" i="3"/>
  <c r="M33" i="3" s="1"/>
  <c r="H34" i="3"/>
  <c r="K34" i="3" s="1"/>
  <c r="E36" i="3"/>
  <c r="G35" i="3"/>
  <c r="E37" i="3" l="1"/>
  <c r="R36" i="3"/>
  <c r="Q36" i="4"/>
  <c r="Q35" i="4"/>
  <c r="U36" i="4"/>
  <c r="U35" i="4"/>
  <c r="S35" i="3"/>
  <c r="T35" i="3"/>
  <c r="E38" i="3"/>
  <c r="R38" i="3" s="1"/>
  <c r="G36" i="3"/>
  <c r="L35" i="3"/>
  <c r="M34" i="3" s="1"/>
  <c r="H35" i="3"/>
  <c r="K35" i="3" s="1"/>
  <c r="G37" i="3" l="1"/>
  <c r="R37" i="3"/>
  <c r="T36" i="3"/>
  <c r="S36" i="3"/>
  <c r="E39" i="3"/>
  <c r="G38" i="3"/>
  <c r="H36" i="3"/>
  <c r="K36" i="3" s="1"/>
  <c r="L36" i="3"/>
  <c r="M35" i="3" s="1"/>
  <c r="E40" i="3" l="1"/>
  <c r="G40" i="3" s="1"/>
  <c r="R39" i="3"/>
  <c r="S37" i="3"/>
  <c r="T37" i="3"/>
  <c r="H37" i="3"/>
  <c r="K37" i="3" s="1"/>
  <c r="L37" i="3"/>
  <c r="M36" i="3" s="1"/>
  <c r="S38" i="3"/>
  <c r="T38" i="3"/>
  <c r="G39" i="3"/>
  <c r="H38" i="3"/>
  <c r="K38" i="3" s="1"/>
  <c r="L38" i="3"/>
  <c r="M37" i="3" s="1"/>
  <c r="S39" i="3" l="1"/>
  <c r="T39" i="3"/>
  <c r="L39" i="3"/>
  <c r="M38" i="3" s="1"/>
  <c r="H39" i="3"/>
  <c r="K39" i="3" s="1"/>
  <c r="T19" i="4" l="1"/>
  <c r="Y19" i="4" l="1"/>
  <c r="U17" i="4"/>
  <c r="U19" i="4"/>
  <c r="R40" i="3"/>
  <c r="T40" i="3"/>
  <c r="H40" i="3" l="1"/>
  <c r="K40" i="3" s="1"/>
  <c r="S40" i="3"/>
  <c r="L40" i="3"/>
  <c r="M39" i="3" l="1"/>
  <c r="M40" i="3"/>
  <c r="S41" i="3"/>
  <c r="T41" i="3" l="1"/>
  <c r="W11" i="8"/>
  <c r="W10" i="8"/>
  <c r="W9" i="8"/>
  <c r="W7" i="8"/>
  <c r="W8" i="8"/>
  <c r="I19" i="8" l="1"/>
  <c r="X19" i="8" s="1"/>
  <c r="W19" i="8" l="1"/>
  <c r="AE18" i="8" l="1"/>
  <c r="AD19" i="8" s="1"/>
  <c r="J18" i="8" s="1"/>
  <c r="I18" i="8" s="1"/>
  <c r="X18" i="8" l="1"/>
  <c r="W18" i="8"/>
</calcChain>
</file>

<file path=xl/sharedStrings.xml><?xml version="1.0" encoding="utf-8"?>
<sst xmlns="http://schemas.openxmlformats.org/spreadsheetml/2006/main" count="252" uniqueCount="103">
  <si>
    <t>SHOULDER</t>
  </si>
  <si>
    <t xml:space="preserve">IR 71 SB </t>
  </si>
  <si>
    <t xml:space="preserve">IR 71 SB PROFILE </t>
  </si>
  <si>
    <t>3008+61.48</t>
  </si>
  <si>
    <t>GEOPAK BARR</t>
  </si>
  <si>
    <t>PREVOST STATIONS</t>
  </si>
  <si>
    <t xml:space="preserve">GEOPAK BARR </t>
  </si>
  <si>
    <t>PREVOST PG ELEV</t>
  </si>
  <si>
    <t>ML</t>
  </si>
  <si>
    <t>SLOPE</t>
  </si>
  <si>
    <t>GORE</t>
  </si>
  <si>
    <t>WIDTH</t>
  </si>
  <si>
    <t>IR 71 SB</t>
  </si>
  <si>
    <t>INSIDE EDGE ELEVATION</t>
  </si>
  <si>
    <t>GRADE ELEVATION</t>
  </si>
  <si>
    <t>ELEV</t>
  </si>
  <si>
    <t>grade break 2 &lt; .05</t>
  </si>
  <si>
    <t>grade break 1 &lt;.032</t>
  </si>
  <si>
    <t>grade break 2 &lt; .032</t>
  </si>
  <si>
    <t>STATION</t>
  </si>
  <si>
    <t>RAMP B3</t>
  </si>
  <si>
    <t>GRADE BREAK 1 &lt; .032</t>
  </si>
  <si>
    <t>GRADE BREAK 2 &lt; .032</t>
  </si>
  <si>
    <t>GRADE BREAK 3 &lt; .032</t>
  </si>
  <si>
    <t>GRADE BREAK 4 &lt; .05</t>
  </si>
  <si>
    <t>RAMP C3</t>
  </si>
  <si>
    <t xml:space="preserve">GEOPAK </t>
  </si>
  <si>
    <t>RAMP C3 TO IR 71 SB</t>
  </si>
  <si>
    <t xml:space="preserve">RAMP PROFILE </t>
  </si>
  <si>
    <t>Mainline Elevation</t>
  </si>
  <si>
    <t>INSIDE EDGE LINE ELEVATION</t>
  </si>
  <si>
    <t>RAMP WIDTH</t>
  </si>
  <si>
    <t>RAMP SLOPE</t>
  </si>
  <si>
    <t xml:space="preserve"> IR71SB B/L TO RAMP C3</t>
  </si>
  <si>
    <t>BEGIN RAMP C3</t>
  </si>
  <si>
    <t>DO NOT USE SHEET FOR IR 71 SB, RAMP C3, RAMP B3</t>
  </si>
  <si>
    <t>RAMP A SHOULDER</t>
  </si>
  <si>
    <t>Station</t>
  </si>
  <si>
    <t>LR</t>
  </si>
  <si>
    <t>TRANS RATE</t>
  </si>
  <si>
    <t>GEOPAK ELEVATION</t>
  </si>
  <si>
    <t>grade break 3 &lt; .07</t>
  </si>
  <si>
    <t>GRADE BREAK 5 &lt; .07</t>
  </si>
  <si>
    <t>RAMP B3 TO IR 71 SB</t>
  </si>
  <si>
    <t>RAMP PROFILE</t>
  </si>
  <si>
    <t>GEOPAK IR 71 SB</t>
  </si>
  <si>
    <t>TRANS</t>
  </si>
  <si>
    <t>RATE</t>
  </si>
  <si>
    <t>IR71 SB ML</t>
  </si>
  <si>
    <t>IR 71 PAVMT SLOPE</t>
  </si>
  <si>
    <t>RAMP C3 PAVMT SLOPE</t>
  </si>
  <si>
    <t>HALF FLAT STA</t>
  </si>
  <si>
    <t>END FS_4</t>
  </si>
  <si>
    <t>Prof Grade</t>
  </si>
  <si>
    <t>IR 71 SB PROFILE GRADE</t>
  </si>
  <si>
    <t>ELEVATION/ GEOPAK</t>
  </si>
  <si>
    <t>INS EDGE PROF GR</t>
  </si>
  <si>
    <t>BARR OREV PROF GR</t>
  </si>
  <si>
    <t>IR 71 SB PROF GR</t>
  </si>
  <si>
    <t>RAMP B3 PROF GR</t>
  </si>
  <si>
    <t>USE THESE ELEVATIONS</t>
  </si>
  <si>
    <t>LANE LINE ELEVATION</t>
  </si>
  <si>
    <t>RAMP C3 GPD</t>
  </si>
  <si>
    <t>RAMP C3 RII</t>
  </si>
  <si>
    <t>RAMP</t>
  </si>
  <si>
    <t>B/L</t>
  </si>
  <si>
    <t>DIST</t>
  </si>
  <si>
    <t xml:space="preserve">GEOPAK RAMP C3 </t>
  </si>
  <si>
    <t>Elevation</t>
  </si>
  <si>
    <t>ORG P/G</t>
  </si>
  <si>
    <t>P/G SLOPE</t>
  </si>
  <si>
    <t>RAMP C5 PROFILE</t>
  </si>
  <si>
    <t>RAMP C5</t>
  </si>
  <si>
    <t>RAMP C 5</t>
  </si>
  <si>
    <t>OUTSIDE E/P</t>
  </si>
  <si>
    <t>RAMP C3 TO RAMP C5</t>
  </si>
  <si>
    <t xml:space="preserve">RAMP C5 TO C3 </t>
  </si>
  <si>
    <t>RAMP C5 TO C3</t>
  </si>
  <si>
    <t>E/P EDGE LINE ELEVATION</t>
  </si>
  <si>
    <t>PROFILE GRAPHIC GRADE</t>
  </si>
  <si>
    <t>ELEVATION</t>
  </si>
  <si>
    <t>ML E/P</t>
  </si>
  <si>
    <t>SLOPE TO BARR PERVOST P/G</t>
  </si>
  <si>
    <t>AT 208+50.00 -0.064%</t>
  </si>
  <si>
    <t>PAVMT  SLOPE</t>
  </si>
  <si>
    <t>E/P SLOPE</t>
  </si>
  <si>
    <t>PREVOST P/G ELEV</t>
  </si>
  <si>
    <t>E/P</t>
  </si>
  <si>
    <t>grade break 2 &lt;.032</t>
  </si>
  <si>
    <t>grade break 3&lt; .032</t>
  </si>
  <si>
    <t>ENDS, PROFILE STARTS</t>
  </si>
  <si>
    <t>BEGIN MEDIAN BARRIER</t>
  </si>
  <si>
    <t>MEDIAN</t>
  </si>
  <si>
    <t>SHLD</t>
  </si>
  <si>
    <t>BARRIER LT</t>
  </si>
  <si>
    <t>SLOPE LT</t>
  </si>
  <si>
    <t>SLOPE RT</t>
  </si>
  <si>
    <t>BARRIER RT</t>
  </si>
  <si>
    <t>IR 71 SB PROFILE</t>
  </si>
  <si>
    <t>SHLD TRANS</t>
  </si>
  <si>
    <t>.016 TO 0.04 LT</t>
  </si>
  <si>
    <t>13' SHLD</t>
  </si>
  <si>
    <t xml:space="preserve">RAMP B3 &amp; IR-71 SB  3 LANE CONFIG.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</si>
</sst>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\+##.00"/>
    <numFmt numFmtId="165" formatCode="0.0000"/>
    <numFmt numFmtId="166" formatCode="0.000"/>
    <numFmt numFmtId="167" formatCode="###\+##.00"/>
    <numFmt numFmtId="168" formatCode="0.000000"/>
    <numFmt numFmtId="169" formatCode="00\+00.00"/>
    <numFmt numFmtId="170" formatCode="####\+##.00"/>
    <numFmt numFmtId="171" formatCode="######\+##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316">
    <xf numFmtId="0" fontId="0" fillId="0" borderId="0" xfId="0"/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7" xfId="0" applyBorder="1"/>
    <xf numFmtId="165" fontId="0" fillId="0" borderId="1" xfId="0" applyNumberFormat="1" applyBorder="1"/>
    <xf numFmtId="166" fontId="0" fillId="0" borderId="1" xfId="0" applyNumberFormat="1" applyBorder="1"/>
    <xf numFmtId="166" fontId="0" fillId="0" borderId="1" xfId="0" applyNumberFormat="1" applyBorder="1" applyAlignment="1">
      <alignment horizontal="center"/>
    </xf>
    <xf numFmtId="2" fontId="1" fillId="0" borderId="4" xfId="0" applyNumberFormat="1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2" fontId="1" fillId="0" borderId="16" xfId="0" applyNumberFormat="1" applyFont="1" applyFill="1" applyBorder="1" applyAlignment="1">
      <alignment horizontal="center" wrapText="1"/>
    </xf>
    <xf numFmtId="165" fontId="0" fillId="0" borderId="16" xfId="0" applyNumberFormat="1" applyFill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6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165" fontId="0" fillId="0" borderId="0" xfId="0" applyNumberFormat="1"/>
    <xf numFmtId="166" fontId="0" fillId="0" borderId="1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6" fontId="0" fillId="2" borderId="7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19" xfId="0" applyBorder="1"/>
    <xf numFmtId="165" fontId="0" fillId="0" borderId="20" xfId="0" applyNumberFormat="1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0" fillId="0" borderId="16" xfId="0" applyBorder="1"/>
    <xf numFmtId="0" fontId="0" fillId="0" borderId="16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165" fontId="0" fillId="0" borderId="9" xfId="0" applyNumberFormat="1" applyBorder="1"/>
    <xf numFmtId="166" fontId="0" fillId="0" borderId="9" xfId="0" applyNumberFormat="1" applyBorder="1"/>
    <xf numFmtId="0" fontId="0" fillId="0" borderId="9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70" fontId="0" fillId="0" borderId="0" xfId="0" applyNumberFormat="1" applyAlignment="1">
      <alignment horizontal="center"/>
    </xf>
    <xf numFmtId="169" fontId="2" fillId="5" borderId="0" xfId="4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/>
    </xf>
    <xf numFmtId="170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8" fontId="2" fillId="6" borderId="0" xfId="4" applyNumberFormat="1" applyFill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165" fontId="0" fillId="7" borderId="1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165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5" fontId="0" fillId="8" borderId="2" xfId="0" applyNumberForma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/>
    </xf>
    <xf numFmtId="2" fontId="0" fillId="8" borderId="7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166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166" fontId="0" fillId="12" borderId="1" xfId="0" applyNumberForma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 wrapText="1"/>
    </xf>
    <xf numFmtId="165" fontId="0" fillId="13" borderId="1" xfId="0" applyNumberForma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2" fontId="1" fillId="13" borderId="16" xfId="0" applyNumberFormat="1" applyFont="1" applyFill="1" applyBorder="1" applyAlignment="1">
      <alignment horizontal="center" vertical="center" wrapText="1"/>
    </xf>
    <xf numFmtId="0" fontId="1" fillId="13" borderId="16" xfId="0" applyFont="1" applyFill="1" applyBorder="1" applyAlignment="1">
      <alignment horizontal="center" vertical="center" wrapText="1"/>
    </xf>
    <xf numFmtId="165" fontId="0" fillId="13" borderId="2" xfId="0" applyNumberFormat="1" applyFill="1" applyBorder="1" applyAlignment="1">
      <alignment horizontal="center"/>
    </xf>
    <xf numFmtId="165" fontId="0" fillId="13" borderId="4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14" borderId="1" xfId="0" applyNumberFormat="1" applyFill="1" applyBorder="1" applyAlignment="1">
      <alignment horizontal="center"/>
    </xf>
    <xf numFmtId="164" fontId="0" fillId="14" borderId="1" xfId="0" applyNumberFormat="1" applyFill="1" applyBorder="1" applyAlignment="1">
      <alignment horizontal="center"/>
    </xf>
    <xf numFmtId="165" fontId="0" fillId="14" borderId="1" xfId="0" applyNumberFormat="1" applyFill="1" applyBorder="1" applyAlignment="1">
      <alignment horizontal="center"/>
    </xf>
    <xf numFmtId="0" fontId="0" fillId="5" borderId="0" xfId="0" applyFill="1"/>
    <xf numFmtId="0" fontId="1" fillId="5" borderId="1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0" fillId="15" borderId="1" xfId="0" applyFont="1" applyFill="1" applyBorder="1" applyAlignment="1">
      <alignment horizontal="center" vertical="center" wrapText="1"/>
    </xf>
    <xf numFmtId="2" fontId="0" fillId="0" borderId="16" xfId="0" applyNumberFormat="1" applyFont="1" applyFill="1" applyBorder="1" applyAlignment="1">
      <alignment horizontal="center" wrapText="1"/>
    </xf>
    <xf numFmtId="164" fontId="0" fillId="13" borderId="6" xfId="0" applyNumberFormat="1" applyFill="1" applyBorder="1" applyAlignment="1">
      <alignment horizontal="center"/>
    </xf>
    <xf numFmtId="171" fontId="0" fillId="0" borderId="23" xfId="0" applyNumberForma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2" fontId="1" fillId="0" borderId="26" xfId="0" applyNumberFormat="1" applyFont="1" applyBorder="1" applyAlignment="1">
      <alignment horizontal="center"/>
    </xf>
    <xf numFmtId="2" fontId="0" fillId="0" borderId="0" xfId="0" applyNumberFormat="1"/>
    <xf numFmtId="170" fontId="0" fillId="0" borderId="1" xfId="0" applyNumberFormat="1" applyBorder="1" applyAlignment="1">
      <alignment horizontal="center"/>
    </xf>
    <xf numFmtId="170" fontId="0" fillId="0" borderId="0" xfId="0" applyNumberFormat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70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2" fontId="0" fillId="0" borderId="0" xfId="0" applyNumberFormat="1" applyFill="1"/>
    <xf numFmtId="0" fontId="0" fillId="0" borderId="0" xfId="0" applyFill="1"/>
    <xf numFmtId="170" fontId="0" fillId="0" borderId="0" xfId="0" applyNumberFormat="1" applyFill="1"/>
    <xf numFmtId="2" fontId="0" fillId="5" borderId="1" xfId="0" applyNumberFormat="1" applyFill="1" applyBorder="1" applyAlignment="1">
      <alignment horizontal="center"/>
    </xf>
    <xf numFmtId="166" fontId="0" fillId="5" borderId="1" xfId="0" applyNumberFormat="1" applyFill="1" applyBorder="1" applyAlignment="1">
      <alignment horizontal="center"/>
    </xf>
    <xf numFmtId="2" fontId="0" fillId="0" borderId="27" xfId="0" applyNumberFormat="1" applyFon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166" fontId="0" fillId="0" borderId="28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164" fontId="1" fillId="0" borderId="0" xfId="0" applyNumberFormat="1" applyFon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70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70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6" fontId="0" fillId="2" borderId="9" xfId="0" applyNumberFormat="1" applyFill="1" applyBorder="1" applyAlignment="1">
      <alignment horizontal="center"/>
    </xf>
    <xf numFmtId="166" fontId="0" fillId="2" borderId="10" xfId="0" applyNumberFormat="1" applyFill="1" applyBorder="1" applyAlignment="1">
      <alignment horizontal="center"/>
    </xf>
    <xf numFmtId="171" fontId="0" fillId="2" borderId="23" xfId="0" applyNumberFormat="1" applyFill="1" applyBorder="1" applyAlignment="1">
      <alignment horizontal="center"/>
    </xf>
    <xf numFmtId="2" fontId="0" fillId="2" borderId="27" xfId="0" applyNumberFormat="1" applyFill="1" applyBorder="1" applyAlignment="1">
      <alignment horizontal="center"/>
    </xf>
    <xf numFmtId="165" fontId="0" fillId="2" borderId="27" xfId="0" applyNumberFormat="1" applyFill="1" applyBorder="1" applyAlignment="1">
      <alignment horizontal="center"/>
    </xf>
    <xf numFmtId="170" fontId="0" fillId="2" borderId="1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68" fontId="2" fillId="0" borderId="0" xfId="4" applyNumberFormat="1" applyFill="1" applyAlignment="1">
      <alignment horizontal="center" vertical="center"/>
    </xf>
    <xf numFmtId="169" fontId="2" fillId="0" borderId="0" xfId="4" applyNumberFormat="1" applyFill="1" applyAlignment="1">
      <alignment horizontal="center" vertical="center"/>
    </xf>
    <xf numFmtId="17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68" fontId="0" fillId="5" borderId="1" xfId="0" applyNumberFormat="1" applyFill="1" applyBorder="1" applyAlignment="1">
      <alignment horizontal="center"/>
    </xf>
    <xf numFmtId="170" fontId="0" fillId="5" borderId="0" xfId="0" applyNumberFormat="1" applyFill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164" fontId="0" fillId="9" borderId="0" xfId="0" applyNumberFormat="1" applyFill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8" borderId="0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9" borderId="0" xfId="0" applyFill="1"/>
    <xf numFmtId="165" fontId="0" fillId="9" borderId="1" xfId="0" applyNumberForma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2" fontId="0" fillId="2" borderId="29" xfId="0" applyNumberFormat="1" applyFill="1" applyBorder="1" applyAlignment="1">
      <alignment horizontal="center"/>
    </xf>
    <xf numFmtId="165" fontId="0" fillId="2" borderId="29" xfId="0" applyNumberFormat="1" applyFill="1" applyBorder="1" applyAlignment="1">
      <alignment horizontal="center"/>
    </xf>
    <xf numFmtId="165" fontId="1" fillId="0" borderId="16" xfId="0" applyNumberFormat="1" applyFont="1" applyFill="1" applyBorder="1" applyAlignment="1">
      <alignment horizontal="center" wrapText="1"/>
    </xf>
    <xf numFmtId="165" fontId="1" fillId="0" borderId="16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center" wrapText="1"/>
    </xf>
    <xf numFmtId="2" fontId="1" fillId="0" borderId="17" xfId="0" applyNumberFormat="1" applyFont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2" fontId="0" fillId="3" borderId="2" xfId="0" applyNumberFormat="1" applyFill="1" applyBorder="1" applyAlignment="1">
      <alignment horizontal="center"/>
    </xf>
    <xf numFmtId="165" fontId="0" fillId="7" borderId="2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 vertical="center"/>
    </xf>
    <xf numFmtId="164" fontId="0" fillId="16" borderId="1" xfId="0" applyNumberFormat="1" applyFill="1" applyBorder="1" applyAlignment="1">
      <alignment horizontal="center" vertical="center"/>
    </xf>
    <xf numFmtId="164" fontId="0" fillId="16" borderId="1" xfId="0" applyNumberFormat="1" applyFill="1" applyBorder="1" applyAlignment="1">
      <alignment horizontal="center"/>
    </xf>
    <xf numFmtId="165" fontId="0" fillId="16" borderId="1" xfId="0" applyNumberFormat="1" applyFill="1" applyBorder="1" applyAlignment="1">
      <alignment horizontal="center"/>
    </xf>
    <xf numFmtId="2" fontId="0" fillId="16" borderId="1" xfId="0" applyNumberFormat="1" applyFill="1" applyBorder="1" applyAlignment="1">
      <alignment horizontal="center"/>
    </xf>
    <xf numFmtId="0" fontId="0" fillId="16" borderId="1" xfId="0" applyFill="1" applyBorder="1" applyAlignment="1">
      <alignment horizontal="center"/>
    </xf>
    <xf numFmtId="0" fontId="0" fillId="16" borderId="0" xfId="0" applyFill="1"/>
    <xf numFmtId="165" fontId="0" fillId="16" borderId="0" xfId="0" applyNumberFormat="1" applyFill="1" applyAlignment="1">
      <alignment horizontal="center" vertical="center"/>
    </xf>
    <xf numFmtId="165" fontId="0" fillId="16" borderId="29" xfId="0" applyNumberFormat="1" applyFill="1" applyBorder="1" applyAlignment="1">
      <alignment horizontal="center"/>
    </xf>
    <xf numFmtId="0" fontId="0" fillId="0" borderId="1" xfId="0" applyFill="1" applyBorder="1"/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/>
    <xf numFmtId="0" fontId="1" fillId="0" borderId="1" xfId="0" applyFont="1" applyFill="1" applyBorder="1"/>
    <xf numFmtId="0" fontId="0" fillId="9" borderId="1" xfId="0" applyFill="1" applyBorder="1" applyAlignment="1">
      <alignment horizontal="center"/>
    </xf>
    <xf numFmtId="165" fontId="0" fillId="9" borderId="0" xfId="0" applyNumberFormat="1" applyFill="1" applyAlignment="1">
      <alignment horizontal="center" vertical="center"/>
    </xf>
    <xf numFmtId="165" fontId="0" fillId="9" borderId="29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166" fontId="0" fillId="9" borderId="1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166" fontId="0" fillId="16" borderId="1" xfId="0" applyNumberFormat="1" applyFill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/>
    </xf>
    <xf numFmtId="165" fontId="0" fillId="0" borderId="0" xfId="0" applyNumberFormat="1" applyFill="1" applyAlignment="1">
      <alignment horizontal="center" vertical="center"/>
    </xf>
    <xf numFmtId="165" fontId="0" fillId="0" borderId="29" xfId="0" applyNumberFormat="1" applyFill="1" applyBorder="1" applyAlignment="1">
      <alignment horizontal="center"/>
    </xf>
    <xf numFmtId="164" fontId="0" fillId="17" borderId="1" xfId="0" applyNumberForma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/>
    <xf numFmtId="0" fontId="0" fillId="2" borderId="1" xfId="0" applyFill="1" applyBorder="1"/>
    <xf numFmtId="0" fontId="0" fillId="2" borderId="0" xfId="0" applyFill="1"/>
    <xf numFmtId="165" fontId="0" fillId="2" borderId="0" xfId="0" applyNumberFormat="1" applyFill="1" applyAlignment="1">
      <alignment horizontal="center" vertical="center"/>
    </xf>
    <xf numFmtId="167" fontId="0" fillId="2" borderId="0" xfId="0" applyNumberFormat="1" applyFill="1" applyAlignment="1">
      <alignment horizontal="center" vertical="center"/>
    </xf>
    <xf numFmtId="0" fontId="1" fillId="0" borderId="0" xfId="0" applyFont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66" fontId="0" fillId="2" borderId="0" xfId="0" applyNumberFormat="1" applyFill="1" applyBorder="1" applyAlignment="1">
      <alignment horizontal="center"/>
    </xf>
    <xf numFmtId="166" fontId="0" fillId="9" borderId="0" xfId="0" applyNumberForma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166" fontId="0" fillId="16" borderId="0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66" fontId="0" fillId="0" borderId="32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</cellXfs>
  <cellStyles count="5">
    <cellStyle name="Comma 2" xfId="2"/>
    <cellStyle name="Currency 2" xfId="3"/>
    <cellStyle name="Normal" xfId="0" builtinId="0"/>
    <cellStyle name="Normal 2" xfId="4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6"/>
  <sheetViews>
    <sheetView zoomScaleNormal="100" workbookViewId="0">
      <pane xSplit="8" ySplit="20" topLeftCell="I36" activePane="bottomRight" state="frozen"/>
      <selection pane="topRight" activeCell="I1" sqref="I1"/>
      <selection pane="bottomLeft" activeCell="A21" sqref="A21"/>
      <selection pane="bottomRight" activeCell="A36" sqref="A36"/>
    </sheetView>
  </sheetViews>
  <sheetFormatPr defaultRowHeight="15" x14ac:dyDescent="0.25"/>
  <cols>
    <col min="1" max="1" width="21.140625" customWidth="1"/>
    <col min="2" max="2" width="21.140625" style="9" customWidth="1"/>
    <col min="3" max="3" width="29.85546875" style="38" customWidth="1"/>
    <col min="4" max="4" width="25.85546875" customWidth="1"/>
    <col min="5" max="5" width="9.140625" customWidth="1"/>
    <col min="6" max="6" width="10.5703125" customWidth="1"/>
    <col min="7" max="7" width="12.85546875" customWidth="1"/>
    <col min="8" max="8" width="25.42578125" customWidth="1"/>
    <col min="9" max="9" width="13.28515625" customWidth="1"/>
    <col min="10" max="10" width="14.5703125" customWidth="1"/>
    <col min="11" max="11" width="14.5703125" style="9" customWidth="1"/>
    <col min="12" max="12" width="22.28515625" customWidth="1"/>
    <col min="13" max="13" width="15.7109375" style="9" customWidth="1"/>
    <col min="14" max="14" width="12.7109375" customWidth="1"/>
    <col min="15" max="15" width="15.28515625" customWidth="1"/>
    <col min="16" max="16" width="18.42578125" customWidth="1"/>
    <col min="17" max="17" width="11.7109375" style="9" customWidth="1"/>
    <col min="18" max="18" width="22.85546875" style="242" customWidth="1"/>
    <col min="19" max="19" width="19.5703125" customWidth="1"/>
    <col min="20" max="20" width="19" customWidth="1"/>
    <col min="21" max="21" width="20.140625" customWidth="1"/>
  </cols>
  <sheetData>
    <row r="1" spans="1:21" x14ac:dyDescent="0.25">
      <c r="A1" s="11" t="s">
        <v>1</v>
      </c>
      <c r="B1" s="21" t="s">
        <v>4</v>
      </c>
      <c r="C1" s="220" t="s">
        <v>81</v>
      </c>
      <c r="D1" s="28" t="s">
        <v>6</v>
      </c>
      <c r="E1" s="220" t="s">
        <v>8</v>
      </c>
      <c r="F1" s="23" t="s">
        <v>10</v>
      </c>
      <c r="G1" s="23" t="s">
        <v>10</v>
      </c>
      <c r="H1" s="23" t="s">
        <v>12</v>
      </c>
      <c r="I1" s="23" t="s">
        <v>12</v>
      </c>
      <c r="J1" s="14"/>
      <c r="K1" s="23" t="s">
        <v>12</v>
      </c>
      <c r="L1" s="15" t="s">
        <v>2</v>
      </c>
      <c r="M1" s="102" t="s">
        <v>53</v>
      </c>
      <c r="N1" s="15" t="s">
        <v>0</v>
      </c>
      <c r="O1" s="15" t="s">
        <v>0</v>
      </c>
      <c r="P1" s="223" t="s">
        <v>0</v>
      </c>
      <c r="Q1" s="240"/>
    </row>
    <row r="2" spans="1:21" s="9" customFormat="1" ht="30" x14ac:dyDescent="0.25">
      <c r="A2" s="29"/>
      <c r="B2" s="30" t="s">
        <v>5</v>
      </c>
      <c r="C2" s="252" t="s">
        <v>82</v>
      </c>
      <c r="D2" s="31" t="s">
        <v>7</v>
      </c>
      <c r="E2" s="253" t="s">
        <v>9</v>
      </c>
      <c r="F2" s="254" t="s">
        <v>11</v>
      </c>
      <c r="G2" s="254" t="s">
        <v>9</v>
      </c>
      <c r="H2" s="254" t="s">
        <v>13</v>
      </c>
      <c r="I2" s="254" t="s">
        <v>11</v>
      </c>
      <c r="J2" s="35" t="s">
        <v>9</v>
      </c>
      <c r="K2" s="254" t="s">
        <v>61</v>
      </c>
      <c r="L2" s="35" t="s">
        <v>14</v>
      </c>
      <c r="M2" s="103"/>
      <c r="N2" s="35" t="s">
        <v>11</v>
      </c>
      <c r="O2" s="35" t="s">
        <v>9</v>
      </c>
      <c r="P2" s="255" t="s">
        <v>15</v>
      </c>
      <c r="Q2" s="240"/>
      <c r="R2" s="41" t="s">
        <v>17</v>
      </c>
      <c r="S2" s="9" t="s">
        <v>17</v>
      </c>
      <c r="T2" s="9" t="s">
        <v>18</v>
      </c>
      <c r="U2" s="40" t="s">
        <v>41</v>
      </c>
    </row>
    <row r="3" spans="1:21" s="9" customFormat="1" x14ac:dyDescent="0.25">
      <c r="A3" s="29"/>
      <c r="B3" s="19">
        <v>68388.990000000005</v>
      </c>
      <c r="C3" s="238">
        <v>-4.4999999999999998E-2</v>
      </c>
      <c r="D3" s="161">
        <v>728.75</v>
      </c>
      <c r="E3" s="32">
        <v>-4.4999999999999998E-2</v>
      </c>
      <c r="F3" s="33">
        <v>0</v>
      </c>
      <c r="G3" s="2">
        <f t="shared" ref="G3:G21" si="0">E3</f>
        <v>-4.4999999999999998E-2</v>
      </c>
      <c r="H3" s="1">
        <f t="shared" ref="H3:H21" si="1">D3+(F3*G3)</f>
        <v>728.75</v>
      </c>
      <c r="I3" s="36">
        <v>24</v>
      </c>
      <c r="J3" s="34">
        <v>-4.4999999999999998E-2</v>
      </c>
      <c r="K3" s="13">
        <f t="shared" ref="K3:K21" si="2">H3+J3*12</f>
        <v>728.21</v>
      </c>
      <c r="L3" s="1">
        <f t="shared" ref="L3:L21" si="3">D3+(F3*G3)+(I3*J3)</f>
        <v>727.67</v>
      </c>
      <c r="M3" s="103"/>
      <c r="N3" s="12">
        <v>12</v>
      </c>
      <c r="O3" s="12">
        <v>-4.4999999999999998E-2</v>
      </c>
      <c r="P3" s="6">
        <f t="shared" ref="P3:P21" si="4">L3+N3*O3</f>
        <v>727.13</v>
      </c>
      <c r="Q3" s="240"/>
      <c r="R3" s="243">
        <f>C3-E3</f>
        <v>0</v>
      </c>
      <c r="S3" s="13">
        <f>ABS(G3-E3)</f>
        <v>0</v>
      </c>
      <c r="U3" s="40"/>
    </row>
    <row r="4" spans="1:21" s="9" customFormat="1" x14ac:dyDescent="0.25">
      <c r="A4" s="29"/>
      <c r="B4" s="19">
        <v>68400</v>
      </c>
      <c r="C4" s="238">
        <v>-4.4999999999999998E-2</v>
      </c>
      <c r="D4" s="161">
        <v>728.7</v>
      </c>
      <c r="E4" s="32">
        <f t="shared" ref="E4:E11" si="5">E3</f>
        <v>-4.4999999999999998E-2</v>
      </c>
      <c r="F4" s="33">
        <v>0.39</v>
      </c>
      <c r="G4" s="2">
        <f t="shared" si="0"/>
        <v>-4.4999999999999998E-2</v>
      </c>
      <c r="H4" s="1">
        <f t="shared" si="1"/>
        <v>728.68245000000002</v>
      </c>
      <c r="I4" s="36">
        <v>24</v>
      </c>
      <c r="J4" s="34">
        <f t="shared" ref="J4:J11" si="6">J3</f>
        <v>-4.4999999999999998E-2</v>
      </c>
      <c r="K4" s="13">
        <f t="shared" si="2"/>
        <v>728.14245000000005</v>
      </c>
      <c r="L4" s="1">
        <f t="shared" si="3"/>
        <v>727.60244999999998</v>
      </c>
      <c r="M4" s="103"/>
      <c r="N4" s="12">
        <v>12</v>
      </c>
      <c r="O4" s="12">
        <v>-4.4999999999999998E-2</v>
      </c>
      <c r="P4" s="6">
        <f t="shared" si="4"/>
        <v>727.06245000000001</v>
      </c>
      <c r="Q4" s="240"/>
      <c r="R4" s="243">
        <f t="shared" ref="R4:R26" si="7">C4-E4</f>
        <v>0</v>
      </c>
      <c r="U4" s="40"/>
    </row>
    <row r="5" spans="1:21" s="9" customFormat="1" x14ac:dyDescent="0.25">
      <c r="A5" s="29"/>
      <c r="B5" s="19">
        <f t="shared" ref="B5:B21" si="8">B4+25</f>
        <v>68425</v>
      </c>
      <c r="C5" s="238">
        <v>-4.4999999999999998E-2</v>
      </c>
      <c r="D5" s="161">
        <v>728.63</v>
      </c>
      <c r="E5" s="32">
        <f t="shared" si="5"/>
        <v>-4.4999999999999998E-2</v>
      </c>
      <c r="F5" s="33">
        <v>0.9</v>
      </c>
      <c r="G5" s="2">
        <f t="shared" si="0"/>
        <v>-4.4999999999999998E-2</v>
      </c>
      <c r="H5" s="1">
        <f t="shared" si="1"/>
        <v>728.58950000000004</v>
      </c>
      <c r="I5" s="36">
        <v>24</v>
      </c>
      <c r="J5" s="34">
        <f t="shared" si="6"/>
        <v>-4.4999999999999998E-2</v>
      </c>
      <c r="K5" s="13">
        <f t="shared" si="2"/>
        <v>728.04950000000008</v>
      </c>
      <c r="L5" s="1">
        <f t="shared" si="3"/>
        <v>727.5095</v>
      </c>
      <c r="M5" s="103"/>
      <c r="N5" s="12">
        <v>12</v>
      </c>
      <c r="O5" s="12">
        <v>-4.4999999999999998E-2</v>
      </c>
      <c r="P5" s="6">
        <f t="shared" si="4"/>
        <v>726.96950000000004</v>
      </c>
      <c r="Q5" s="240"/>
      <c r="R5" s="243">
        <f t="shared" si="7"/>
        <v>0</v>
      </c>
      <c r="U5" s="40"/>
    </row>
    <row r="6" spans="1:21" s="9" customFormat="1" x14ac:dyDescent="0.25">
      <c r="A6" s="29"/>
      <c r="B6" s="19">
        <f t="shared" si="8"/>
        <v>68450</v>
      </c>
      <c r="C6" s="238">
        <v>-4.4999999999999998E-2</v>
      </c>
      <c r="D6" s="161">
        <v>728.52</v>
      </c>
      <c r="E6" s="32">
        <f t="shared" si="5"/>
        <v>-4.4999999999999998E-2</v>
      </c>
      <c r="F6" s="33">
        <v>1.39</v>
      </c>
      <c r="G6" s="2">
        <f t="shared" si="0"/>
        <v>-4.4999999999999998E-2</v>
      </c>
      <c r="H6" s="1">
        <f t="shared" si="1"/>
        <v>728.45744999999999</v>
      </c>
      <c r="I6" s="36">
        <v>24</v>
      </c>
      <c r="J6" s="34">
        <f t="shared" si="6"/>
        <v>-4.4999999999999998E-2</v>
      </c>
      <c r="K6" s="13">
        <f t="shared" si="2"/>
        <v>727.91745000000003</v>
      </c>
      <c r="L6" s="1">
        <f t="shared" si="3"/>
        <v>727.37744999999995</v>
      </c>
      <c r="M6" s="103"/>
      <c r="N6" s="12">
        <v>12</v>
      </c>
      <c r="O6" s="12">
        <v>-4.4999999999999998E-2</v>
      </c>
      <c r="P6" s="6">
        <f t="shared" si="4"/>
        <v>726.83744999999999</v>
      </c>
      <c r="Q6" s="240"/>
      <c r="R6" s="243">
        <f t="shared" si="7"/>
        <v>0</v>
      </c>
      <c r="U6" s="40"/>
    </row>
    <row r="7" spans="1:21" s="9" customFormat="1" x14ac:dyDescent="0.25">
      <c r="A7" s="29"/>
      <c r="B7" s="19">
        <f t="shared" si="8"/>
        <v>68475</v>
      </c>
      <c r="C7" s="238">
        <v>-4.4999999999999998E-2</v>
      </c>
      <c r="D7" s="161">
        <v>728.39</v>
      </c>
      <c r="E7" s="32">
        <f t="shared" si="5"/>
        <v>-4.4999999999999998E-2</v>
      </c>
      <c r="F7" s="33">
        <v>1.9</v>
      </c>
      <c r="G7" s="2">
        <f t="shared" si="0"/>
        <v>-4.4999999999999998E-2</v>
      </c>
      <c r="H7" s="1">
        <f t="shared" si="1"/>
        <v>728.30449999999996</v>
      </c>
      <c r="I7" s="36">
        <v>24</v>
      </c>
      <c r="J7" s="34">
        <f t="shared" si="6"/>
        <v>-4.4999999999999998E-2</v>
      </c>
      <c r="K7" s="13">
        <f t="shared" si="2"/>
        <v>727.7645</v>
      </c>
      <c r="L7" s="1">
        <f t="shared" si="3"/>
        <v>727.22449999999992</v>
      </c>
      <c r="M7" s="103"/>
      <c r="N7" s="12">
        <v>12</v>
      </c>
      <c r="O7" s="12">
        <v>-4.4999999999999998E-2</v>
      </c>
      <c r="P7" s="6">
        <f t="shared" si="4"/>
        <v>726.68449999999996</v>
      </c>
      <c r="Q7" s="240"/>
      <c r="R7" s="243">
        <f t="shared" si="7"/>
        <v>0</v>
      </c>
      <c r="U7" s="40"/>
    </row>
    <row r="8" spans="1:21" s="9" customFormat="1" x14ac:dyDescent="0.25">
      <c r="A8" s="29"/>
      <c r="B8" s="19">
        <f t="shared" si="8"/>
        <v>68500</v>
      </c>
      <c r="C8" s="238">
        <v>-4.4999999999999998E-2</v>
      </c>
      <c r="D8" s="161">
        <v>728.23</v>
      </c>
      <c r="E8" s="32">
        <f t="shared" si="5"/>
        <v>-4.4999999999999998E-2</v>
      </c>
      <c r="F8" s="33">
        <v>2.4</v>
      </c>
      <c r="G8" s="2">
        <f t="shared" si="0"/>
        <v>-4.4999999999999998E-2</v>
      </c>
      <c r="H8" s="1">
        <f t="shared" si="1"/>
        <v>728.12200000000007</v>
      </c>
      <c r="I8" s="36">
        <v>24</v>
      </c>
      <c r="J8" s="34">
        <f t="shared" si="6"/>
        <v>-4.4999999999999998E-2</v>
      </c>
      <c r="K8" s="13">
        <f t="shared" si="2"/>
        <v>727.58200000000011</v>
      </c>
      <c r="L8" s="1">
        <f t="shared" si="3"/>
        <v>727.04200000000003</v>
      </c>
      <c r="M8" s="103"/>
      <c r="N8" s="12">
        <v>12</v>
      </c>
      <c r="O8" s="12">
        <v>-4.4999999999999998E-2</v>
      </c>
      <c r="P8" s="6">
        <f t="shared" si="4"/>
        <v>726.50200000000007</v>
      </c>
      <c r="Q8" s="240"/>
      <c r="R8" s="243">
        <f t="shared" si="7"/>
        <v>0</v>
      </c>
      <c r="U8" s="40"/>
    </row>
    <row r="9" spans="1:21" s="9" customFormat="1" x14ac:dyDescent="0.25">
      <c r="A9" s="29"/>
      <c r="B9" s="19">
        <f t="shared" si="8"/>
        <v>68525</v>
      </c>
      <c r="C9" s="238">
        <v>-4.4999999999999998E-2</v>
      </c>
      <c r="D9" s="161">
        <v>728.05</v>
      </c>
      <c r="E9" s="32">
        <f t="shared" si="5"/>
        <v>-4.4999999999999998E-2</v>
      </c>
      <c r="F9" s="33">
        <v>2.9</v>
      </c>
      <c r="G9" s="2">
        <f t="shared" si="0"/>
        <v>-4.4999999999999998E-2</v>
      </c>
      <c r="H9" s="1">
        <f t="shared" si="1"/>
        <v>727.91949999999997</v>
      </c>
      <c r="I9" s="36">
        <v>24</v>
      </c>
      <c r="J9" s="34">
        <f t="shared" si="6"/>
        <v>-4.4999999999999998E-2</v>
      </c>
      <c r="K9" s="13">
        <f t="shared" si="2"/>
        <v>727.37950000000001</v>
      </c>
      <c r="L9" s="1">
        <f t="shared" si="3"/>
        <v>726.83949999999993</v>
      </c>
      <c r="M9" s="103"/>
      <c r="N9" s="12">
        <v>12</v>
      </c>
      <c r="O9" s="12">
        <v>-4.4999999999999998E-2</v>
      </c>
      <c r="P9" s="6">
        <f t="shared" si="4"/>
        <v>726.29949999999997</v>
      </c>
      <c r="Q9" s="240"/>
      <c r="R9" s="243">
        <f t="shared" si="7"/>
        <v>0</v>
      </c>
      <c r="U9" s="40"/>
    </row>
    <row r="10" spans="1:21" s="9" customFormat="1" x14ac:dyDescent="0.25">
      <c r="A10" s="29"/>
      <c r="B10" s="19">
        <f t="shared" si="8"/>
        <v>68550</v>
      </c>
      <c r="C10" s="238">
        <v>-4.4999999999999998E-2</v>
      </c>
      <c r="D10" s="161">
        <v>727.84</v>
      </c>
      <c r="E10" s="32">
        <f t="shared" si="5"/>
        <v>-4.4999999999999998E-2</v>
      </c>
      <c r="F10" s="33">
        <v>3.4</v>
      </c>
      <c r="G10" s="2">
        <f t="shared" si="0"/>
        <v>-4.4999999999999998E-2</v>
      </c>
      <c r="H10" s="1">
        <f t="shared" si="1"/>
        <v>727.68700000000001</v>
      </c>
      <c r="I10" s="36">
        <v>24</v>
      </c>
      <c r="J10" s="34">
        <f t="shared" si="6"/>
        <v>-4.4999999999999998E-2</v>
      </c>
      <c r="K10" s="13">
        <f t="shared" si="2"/>
        <v>727.14700000000005</v>
      </c>
      <c r="L10" s="1">
        <f t="shared" si="3"/>
        <v>726.60699999999997</v>
      </c>
      <c r="M10" s="103"/>
      <c r="N10" s="12">
        <v>12</v>
      </c>
      <c r="O10" s="12">
        <v>-4.4999999999999998E-2</v>
      </c>
      <c r="P10" s="6">
        <f t="shared" si="4"/>
        <v>726.06700000000001</v>
      </c>
      <c r="Q10" s="240"/>
      <c r="R10" s="243">
        <f t="shared" si="7"/>
        <v>0</v>
      </c>
      <c r="U10" s="40"/>
    </row>
    <row r="11" spans="1:21" s="9" customFormat="1" x14ac:dyDescent="0.25">
      <c r="A11" s="29"/>
      <c r="B11" s="19">
        <f t="shared" si="8"/>
        <v>68575</v>
      </c>
      <c r="C11" s="238">
        <v>-4.4999999999999998E-2</v>
      </c>
      <c r="D11" s="161">
        <v>727.61</v>
      </c>
      <c r="E11" s="32">
        <f t="shared" si="5"/>
        <v>-4.4999999999999998E-2</v>
      </c>
      <c r="F11" s="33">
        <v>3.89</v>
      </c>
      <c r="G11" s="2">
        <f t="shared" si="0"/>
        <v>-4.4999999999999998E-2</v>
      </c>
      <c r="H11" s="1">
        <f t="shared" si="1"/>
        <v>727.43494999999996</v>
      </c>
      <c r="I11" s="36">
        <v>24</v>
      </c>
      <c r="J11" s="34">
        <f t="shared" si="6"/>
        <v>-4.4999999999999998E-2</v>
      </c>
      <c r="K11" s="13">
        <f t="shared" si="2"/>
        <v>726.89494999999999</v>
      </c>
      <c r="L11" s="1">
        <f t="shared" si="3"/>
        <v>726.35494999999992</v>
      </c>
      <c r="M11" s="103"/>
      <c r="N11" s="12">
        <v>12</v>
      </c>
      <c r="O11" s="12">
        <v>-4.4999999999999998E-2</v>
      </c>
      <c r="P11" s="6">
        <f t="shared" si="4"/>
        <v>725.81494999999995</v>
      </c>
      <c r="Q11" s="240"/>
      <c r="R11" s="243">
        <f t="shared" si="7"/>
        <v>0</v>
      </c>
      <c r="U11" s="40"/>
    </row>
    <row r="12" spans="1:21" s="9" customFormat="1" x14ac:dyDescent="0.25">
      <c r="A12" s="29"/>
      <c r="B12" s="19">
        <f>B11+25</f>
        <v>68600</v>
      </c>
      <c r="C12" s="238">
        <v>-4.3999999999999997E-2</v>
      </c>
      <c r="D12" s="161">
        <v>727.35</v>
      </c>
      <c r="E12" s="32">
        <v>-4.3999999999999997E-2</v>
      </c>
      <c r="F12" s="33">
        <v>4.3899999999999997</v>
      </c>
      <c r="G12" s="2">
        <f t="shared" si="0"/>
        <v>-4.3999999999999997E-2</v>
      </c>
      <c r="H12" s="1">
        <f t="shared" si="1"/>
        <v>727.15683999999999</v>
      </c>
      <c r="I12" s="36">
        <v>24</v>
      </c>
      <c r="J12" s="237">
        <f t="shared" ref="J12:J17" si="9">G12</f>
        <v>-4.3999999999999997E-2</v>
      </c>
      <c r="K12" s="13">
        <f t="shared" si="2"/>
        <v>726.62883999999997</v>
      </c>
      <c r="L12" s="1">
        <f t="shared" si="3"/>
        <v>726.10083999999995</v>
      </c>
      <c r="M12" s="103"/>
      <c r="N12" s="12">
        <v>12</v>
      </c>
      <c r="O12" s="12">
        <v>-4.3999999999999997E-2</v>
      </c>
      <c r="P12" s="6">
        <f t="shared" si="4"/>
        <v>725.57283999999993</v>
      </c>
      <c r="Q12" s="240"/>
      <c r="R12" s="243">
        <f t="shared" si="7"/>
        <v>0</v>
      </c>
      <c r="U12" s="40"/>
    </row>
    <row r="13" spans="1:21" s="9" customFormat="1" x14ac:dyDescent="0.25">
      <c r="A13" s="29"/>
      <c r="B13" s="19">
        <f t="shared" si="8"/>
        <v>68625</v>
      </c>
      <c r="C13" s="238">
        <v>-3.9300000000000002E-2</v>
      </c>
      <c r="D13" s="161">
        <v>727.07</v>
      </c>
      <c r="E13" s="32">
        <v>-3.9300000000000002E-2</v>
      </c>
      <c r="F13" s="33">
        <v>4.8899999999999997</v>
      </c>
      <c r="G13" s="2">
        <f t="shared" si="0"/>
        <v>-3.9300000000000002E-2</v>
      </c>
      <c r="H13" s="1">
        <f t="shared" si="1"/>
        <v>726.87782300000003</v>
      </c>
      <c r="I13" s="36">
        <v>24</v>
      </c>
      <c r="J13" s="237">
        <f t="shared" si="9"/>
        <v>-3.9300000000000002E-2</v>
      </c>
      <c r="K13" s="13">
        <f t="shared" si="2"/>
        <v>726.40622300000007</v>
      </c>
      <c r="L13" s="1">
        <f t="shared" si="3"/>
        <v>725.93462299999999</v>
      </c>
      <c r="M13" s="103"/>
      <c r="N13" s="12">
        <v>12</v>
      </c>
      <c r="O13" s="57">
        <v>-0.04</v>
      </c>
      <c r="P13" s="6">
        <f t="shared" si="4"/>
        <v>725.45462299999997</v>
      </c>
      <c r="Q13" s="240"/>
      <c r="R13" s="243">
        <f t="shared" si="7"/>
        <v>0</v>
      </c>
      <c r="U13" s="40"/>
    </row>
    <row r="14" spans="1:21" s="9" customFormat="1" x14ac:dyDescent="0.25">
      <c r="A14" s="29"/>
      <c r="B14" s="19">
        <f t="shared" si="8"/>
        <v>68650</v>
      </c>
      <c r="C14" s="238">
        <v>-3.4599999999999999E-2</v>
      </c>
      <c r="D14" s="161">
        <v>726.76</v>
      </c>
      <c r="E14" s="32">
        <v>-3.4599999999999999E-2</v>
      </c>
      <c r="F14" s="33">
        <v>5.39</v>
      </c>
      <c r="G14" s="2">
        <f t="shared" si="0"/>
        <v>-3.4599999999999999E-2</v>
      </c>
      <c r="H14" s="1">
        <f t="shared" si="1"/>
        <v>726.57350599999995</v>
      </c>
      <c r="I14" s="36">
        <v>24</v>
      </c>
      <c r="J14" s="237">
        <f t="shared" si="9"/>
        <v>-3.4599999999999999E-2</v>
      </c>
      <c r="K14" s="13">
        <f t="shared" si="2"/>
        <v>726.15830599999993</v>
      </c>
      <c r="L14" s="1">
        <f t="shared" si="3"/>
        <v>725.7431059999999</v>
      </c>
      <c r="M14" s="103"/>
      <c r="N14" s="12">
        <v>12</v>
      </c>
      <c r="O14" s="12">
        <v>-0.04</v>
      </c>
      <c r="P14" s="6">
        <f t="shared" si="4"/>
        <v>725.26310599999988</v>
      </c>
      <c r="Q14" s="240"/>
      <c r="R14" s="243">
        <f t="shared" si="7"/>
        <v>0</v>
      </c>
      <c r="U14" s="40"/>
    </row>
    <row r="15" spans="1:21" s="9" customFormat="1" x14ac:dyDescent="0.25">
      <c r="A15" s="29"/>
      <c r="B15" s="19">
        <f t="shared" si="8"/>
        <v>68675</v>
      </c>
      <c r="C15" s="238">
        <v>-0.03</v>
      </c>
      <c r="D15" s="161">
        <v>726.42</v>
      </c>
      <c r="E15" s="32">
        <v>-0.03</v>
      </c>
      <c r="F15" s="33">
        <v>5.89</v>
      </c>
      <c r="G15" s="2">
        <f t="shared" si="0"/>
        <v>-0.03</v>
      </c>
      <c r="H15" s="1">
        <f t="shared" si="1"/>
        <v>726.24329999999998</v>
      </c>
      <c r="I15" s="36">
        <v>24</v>
      </c>
      <c r="J15" s="237">
        <f t="shared" si="9"/>
        <v>-0.03</v>
      </c>
      <c r="K15" s="13">
        <f t="shared" si="2"/>
        <v>725.88329999999996</v>
      </c>
      <c r="L15" s="1">
        <f t="shared" si="3"/>
        <v>725.52329999999995</v>
      </c>
      <c r="M15" s="103"/>
      <c r="N15" s="12">
        <v>12</v>
      </c>
      <c r="O15" s="12">
        <v>-0.04</v>
      </c>
      <c r="P15" s="6">
        <f t="shared" si="4"/>
        <v>725.04329999999993</v>
      </c>
      <c r="Q15" s="240"/>
      <c r="R15" s="243">
        <f t="shared" si="7"/>
        <v>0</v>
      </c>
      <c r="U15" s="40"/>
    </row>
    <row r="16" spans="1:21" s="9" customFormat="1" x14ac:dyDescent="0.25">
      <c r="A16" s="29"/>
      <c r="B16" s="19">
        <f t="shared" si="8"/>
        <v>68700</v>
      </c>
      <c r="C16" s="238">
        <v>-2.53E-2</v>
      </c>
      <c r="D16" s="161">
        <v>726.06</v>
      </c>
      <c r="E16" s="32">
        <v>-2.53E-2</v>
      </c>
      <c r="F16" s="33">
        <v>6.39</v>
      </c>
      <c r="G16" s="2">
        <f t="shared" si="0"/>
        <v>-2.53E-2</v>
      </c>
      <c r="H16" s="1">
        <f t="shared" si="1"/>
        <v>725.89833299999998</v>
      </c>
      <c r="I16" s="36">
        <v>24</v>
      </c>
      <c r="J16" s="237">
        <f t="shared" si="9"/>
        <v>-2.53E-2</v>
      </c>
      <c r="K16" s="13">
        <f t="shared" si="2"/>
        <v>725.59473300000002</v>
      </c>
      <c r="L16" s="1">
        <f t="shared" si="3"/>
        <v>725.29113299999995</v>
      </c>
      <c r="M16" s="103"/>
      <c r="N16" s="12">
        <v>12</v>
      </c>
      <c r="O16" s="12">
        <v>-0.04</v>
      </c>
      <c r="P16" s="6">
        <f t="shared" si="4"/>
        <v>724.81113299999993</v>
      </c>
      <c r="Q16" s="240"/>
      <c r="R16" s="243">
        <f t="shared" si="7"/>
        <v>0</v>
      </c>
      <c r="U16" s="40"/>
    </row>
    <row r="17" spans="1:21" s="9" customFormat="1" x14ac:dyDescent="0.25">
      <c r="A17" s="29"/>
      <c r="B17" s="19">
        <f t="shared" si="8"/>
        <v>68725</v>
      </c>
      <c r="C17" s="238">
        <v>-2.06E-2</v>
      </c>
      <c r="D17" s="161">
        <v>725.68</v>
      </c>
      <c r="E17" s="32">
        <v>-2.06E-2</v>
      </c>
      <c r="F17" s="33">
        <v>6.89</v>
      </c>
      <c r="G17" s="2">
        <f t="shared" si="0"/>
        <v>-2.06E-2</v>
      </c>
      <c r="H17" s="1">
        <f t="shared" si="1"/>
        <v>725.53806599999996</v>
      </c>
      <c r="I17" s="36">
        <v>24</v>
      </c>
      <c r="J17" s="237">
        <f t="shared" si="9"/>
        <v>-2.06E-2</v>
      </c>
      <c r="K17" s="13">
        <f t="shared" si="2"/>
        <v>725.29086599999994</v>
      </c>
      <c r="L17" s="1">
        <f t="shared" si="3"/>
        <v>725.04366599999992</v>
      </c>
      <c r="M17" s="103"/>
      <c r="N17" s="12">
        <v>12</v>
      </c>
      <c r="O17" s="12">
        <v>-0.04</v>
      </c>
      <c r="P17" s="6">
        <f t="shared" si="4"/>
        <v>724.5636659999999</v>
      </c>
      <c r="Q17" s="240"/>
      <c r="R17" s="243">
        <f t="shared" si="7"/>
        <v>0</v>
      </c>
      <c r="U17" s="40"/>
    </row>
    <row r="18" spans="1:21" s="9" customFormat="1" x14ac:dyDescent="0.25">
      <c r="A18" s="29"/>
      <c r="B18" s="19">
        <f t="shared" si="8"/>
        <v>68750</v>
      </c>
      <c r="C18" s="238">
        <v>-1.5900000000000001E-2</v>
      </c>
      <c r="D18" s="161">
        <v>725.26</v>
      </c>
      <c r="E18" s="32">
        <v>-1.6E-2</v>
      </c>
      <c r="F18" s="33">
        <v>7.39</v>
      </c>
      <c r="G18" s="2">
        <f t="shared" si="0"/>
        <v>-1.6E-2</v>
      </c>
      <c r="H18" s="1">
        <f t="shared" si="1"/>
        <v>725.14175999999998</v>
      </c>
      <c r="I18" s="36">
        <v>24</v>
      </c>
      <c r="J18" s="237">
        <f>E18</f>
        <v>-1.6E-2</v>
      </c>
      <c r="K18" s="13">
        <f t="shared" si="2"/>
        <v>724.94975999999997</v>
      </c>
      <c r="L18" s="1">
        <f t="shared" si="3"/>
        <v>724.75775999999996</v>
      </c>
      <c r="M18" s="103"/>
      <c r="N18" s="12">
        <v>12</v>
      </c>
      <c r="O18" s="12">
        <v>-0.04</v>
      </c>
      <c r="P18" s="6">
        <f t="shared" si="4"/>
        <v>724.27775999999994</v>
      </c>
      <c r="Q18" s="240"/>
      <c r="R18" s="243">
        <f t="shared" si="7"/>
        <v>9.9999999999999395E-5</v>
      </c>
      <c r="U18" s="40"/>
    </row>
    <row r="19" spans="1:21" s="9" customFormat="1" x14ac:dyDescent="0.25">
      <c r="A19" s="29"/>
      <c r="B19" s="19">
        <f t="shared" si="8"/>
        <v>68775</v>
      </c>
      <c r="C19" s="238">
        <v>-1.12E-2</v>
      </c>
      <c r="D19" s="161">
        <v>724.83</v>
      </c>
      <c r="E19" s="32">
        <v>-1.6E-2</v>
      </c>
      <c r="F19" s="33">
        <v>7.89</v>
      </c>
      <c r="G19" s="2">
        <f t="shared" si="0"/>
        <v>-1.6E-2</v>
      </c>
      <c r="H19" s="1">
        <f t="shared" si="1"/>
        <v>724.70375999999999</v>
      </c>
      <c r="I19" s="36">
        <v>24</v>
      </c>
      <c r="J19" s="237">
        <f>E19</f>
        <v>-1.6E-2</v>
      </c>
      <c r="K19" s="13">
        <f t="shared" si="2"/>
        <v>724.51175999999998</v>
      </c>
      <c r="L19" s="1">
        <f t="shared" si="3"/>
        <v>724.31975999999997</v>
      </c>
      <c r="M19" s="103"/>
      <c r="N19" s="12">
        <v>12</v>
      </c>
      <c r="O19" s="12">
        <v>-0.04</v>
      </c>
      <c r="P19" s="6">
        <f t="shared" si="4"/>
        <v>723.83975999999996</v>
      </c>
      <c r="Q19" s="240"/>
      <c r="R19" s="243">
        <f t="shared" si="7"/>
        <v>4.8000000000000004E-3</v>
      </c>
      <c r="U19" s="40"/>
    </row>
    <row r="20" spans="1:21" s="9" customFormat="1" x14ac:dyDescent="0.25">
      <c r="A20" s="29"/>
      <c r="B20" s="19">
        <f t="shared" si="8"/>
        <v>68800</v>
      </c>
      <c r="C20" s="238">
        <v>-6.4999999999999997E-3</v>
      </c>
      <c r="D20" s="161">
        <v>724.36</v>
      </c>
      <c r="E20" s="32">
        <v>-1.6E-2</v>
      </c>
      <c r="F20" s="33">
        <v>8.39</v>
      </c>
      <c r="G20" s="2">
        <f t="shared" si="0"/>
        <v>-1.6E-2</v>
      </c>
      <c r="H20" s="1">
        <f t="shared" si="1"/>
        <v>724.22576000000004</v>
      </c>
      <c r="I20" s="36">
        <v>24</v>
      </c>
      <c r="J20" s="34">
        <v>-1.6E-2</v>
      </c>
      <c r="K20" s="13">
        <f t="shared" si="2"/>
        <v>724.03376000000003</v>
      </c>
      <c r="L20" s="1">
        <f t="shared" si="3"/>
        <v>723.84176000000002</v>
      </c>
      <c r="M20" s="103"/>
      <c r="N20" s="12">
        <v>12</v>
      </c>
      <c r="O20" s="12">
        <v>-0.04</v>
      </c>
      <c r="P20" s="6">
        <f t="shared" si="4"/>
        <v>723.36176</v>
      </c>
      <c r="Q20" s="240"/>
      <c r="R20" s="243">
        <f t="shared" si="7"/>
        <v>9.5000000000000015E-3</v>
      </c>
      <c r="U20" s="40"/>
    </row>
    <row r="21" spans="1:21" s="9" customFormat="1" x14ac:dyDescent="0.25">
      <c r="A21" s="29"/>
      <c r="B21" s="19">
        <f t="shared" si="8"/>
        <v>68825</v>
      </c>
      <c r="C21" s="238">
        <v>-1.8E-3</v>
      </c>
      <c r="D21" s="161">
        <v>723.88</v>
      </c>
      <c r="E21" s="32">
        <v>-1.6E-2</v>
      </c>
      <c r="F21" s="33">
        <v>8.89</v>
      </c>
      <c r="G21" s="2">
        <f t="shared" si="0"/>
        <v>-1.6E-2</v>
      </c>
      <c r="H21" s="1">
        <f t="shared" si="1"/>
        <v>723.73775999999998</v>
      </c>
      <c r="I21" s="36">
        <v>24</v>
      </c>
      <c r="J21" s="34">
        <v>-1.6E-2</v>
      </c>
      <c r="K21" s="13">
        <f t="shared" si="2"/>
        <v>723.54575999999997</v>
      </c>
      <c r="L21" s="1">
        <f t="shared" si="3"/>
        <v>723.35375999999997</v>
      </c>
      <c r="M21" s="103"/>
      <c r="N21" s="12">
        <v>12</v>
      </c>
      <c r="O21" s="12">
        <v>-0.04</v>
      </c>
      <c r="P21" s="6">
        <f t="shared" si="4"/>
        <v>722.87375999999995</v>
      </c>
      <c r="Q21" s="240"/>
      <c r="R21" s="243">
        <f t="shared" si="7"/>
        <v>1.4200000000000001E-2</v>
      </c>
      <c r="U21" s="40"/>
    </row>
    <row r="22" spans="1:21" x14ac:dyDescent="0.25">
      <c r="A22" s="5">
        <v>20244.8</v>
      </c>
      <c r="B22" s="19">
        <v>68830.02</v>
      </c>
      <c r="C22" s="239">
        <v>-8.9999999999999993E-3</v>
      </c>
      <c r="D22" s="13">
        <v>723.78</v>
      </c>
      <c r="E22" s="51">
        <v>-1.6E-2</v>
      </c>
      <c r="F22" s="88">
        <v>9</v>
      </c>
      <c r="G22" s="2">
        <f>E22</f>
        <v>-1.6E-2</v>
      </c>
      <c r="H22" s="1">
        <f t="shared" ref="H22:H41" si="10">D22+(F22*G22)</f>
        <v>723.63599999999997</v>
      </c>
      <c r="I22" s="50">
        <v>24</v>
      </c>
      <c r="J22" s="51">
        <v>-1.6E-2</v>
      </c>
      <c r="K22" s="13">
        <f>H22+J22*12</f>
        <v>723.44399999999996</v>
      </c>
      <c r="L22" s="1">
        <f t="shared" ref="L22:L41" si="11">D22+(F22*G22)+(I22*J22)</f>
        <v>723.25199999999995</v>
      </c>
      <c r="M22" s="104">
        <f t="shared" ref="M22:M41" si="12">(L23-L22)/(A23-A22)</f>
        <v>-2.1461538461526434E-2</v>
      </c>
      <c r="N22" s="12">
        <v>12</v>
      </c>
      <c r="O22" s="12">
        <v>-0.04</v>
      </c>
      <c r="P22" s="6">
        <f>L22+N22*O22</f>
        <v>722.77199999999993</v>
      </c>
      <c r="Q22" s="240"/>
      <c r="R22" s="243">
        <f t="shared" si="7"/>
        <v>7.000000000000001E-3</v>
      </c>
      <c r="S22" s="88">
        <f t="shared" ref="S22:S41" si="13">ABS(G22-E22)</f>
        <v>0</v>
      </c>
      <c r="T22" s="88">
        <f t="shared" ref="T22:T41" si="14">J22-G22</f>
        <v>0</v>
      </c>
      <c r="U22" s="50">
        <f>ABS(O22-J22)</f>
        <v>2.4E-2</v>
      </c>
    </row>
    <row r="23" spans="1:21" x14ac:dyDescent="0.25">
      <c r="A23" s="5">
        <v>20250</v>
      </c>
      <c r="B23" s="19">
        <v>68835.210000000006</v>
      </c>
      <c r="C23" s="239">
        <v>1E-4</v>
      </c>
      <c r="D23" s="13">
        <v>723.67</v>
      </c>
      <c r="E23" s="51">
        <f t="shared" ref="E23:E25" si="15">E22</f>
        <v>-1.6E-2</v>
      </c>
      <c r="F23" s="88">
        <v>9.1</v>
      </c>
      <c r="G23" s="2">
        <f t="shared" ref="G23:G25" si="16">E23</f>
        <v>-1.6E-2</v>
      </c>
      <c r="H23" s="1">
        <f t="shared" si="10"/>
        <v>723.52440000000001</v>
      </c>
      <c r="I23" s="50">
        <v>24</v>
      </c>
      <c r="J23" s="51">
        <v>-1.6E-2</v>
      </c>
      <c r="K23" s="13">
        <f t="shared" ref="K23:K40" si="17">H23+J23*12</f>
        <v>723.33240000000001</v>
      </c>
      <c r="L23" s="1">
        <f t="shared" si="11"/>
        <v>723.1404</v>
      </c>
      <c r="M23" s="104">
        <f t="shared" si="12"/>
        <v>-2.1120000000000801E-2</v>
      </c>
      <c r="N23" s="12">
        <v>12</v>
      </c>
      <c r="O23" s="12">
        <v>-0.04</v>
      </c>
      <c r="P23" s="6">
        <f t="shared" ref="P23:P33" si="18">L23+N23*O23</f>
        <v>722.66039999999998</v>
      </c>
      <c r="Q23" s="240"/>
      <c r="R23" s="243">
        <f t="shared" si="7"/>
        <v>1.61E-2</v>
      </c>
      <c r="S23" s="88">
        <f t="shared" si="13"/>
        <v>0</v>
      </c>
      <c r="T23" s="88">
        <f t="shared" si="14"/>
        <v>0</v>
      </c>
      <c r="U23" s="50">
        <f t="shared" ref="U23:U33" si="19">ABS(O23-J23)</f>
        <v>2.4E-2</v>
      </c>
    </row>
    <row r="24" spans="1:21" x14ac:dyDescent="0.25">
      <c r="A24" s="5">
        <f>A23+25</f>
        <v>20275</v>
      </c>
      <c r="B24" s="19">
        <v>68860.210000000006</v>
      </c>
      <c r="C24" s="239">
        <v>4.7999999999999996E-3</v>
      </c>
      <c r="D24" s="13">
        <v>723.15</v>
      </c>
      <c r="E24" s="51">
        <f t="shared" si="15"/>
        <v>-1.6E-2</v>
      </c>
      <c r="F24" s="88">
        <v>9.6</v>
      </c>
      <c r="G24" s="2">
        <f t="shared" si="16"/>
        <v>-1.6E-2</v>
      </c>
      <c r="H24" s="1">
        <f t="shared" si="10"/>
        <v>722.99639999999999</v>
      </c>
      <c r="I24" s="50">
        <v>24</v>
      </c>
      <c r="J24" s="51">
        <v>-1.6E-2</v>
      </c>
      <c r="K24" s="13">
        <f t="shared" si="17"/>
        <v>722.80439999999999</v>
      </c>
      <c r="L24" s="1">
        <f t="shared" si="11"/>
        <v>722.61239999999998</v>
      </c>
      <c r="M24" s="104">
        <f t="shared" si="12"/>
        <v>-2.2319999999999708E-2</v>
      </c>
      <c r="N24" s="12">
        <v>12</v>
      </c>
      <c r="O24" s="12">
        <v>-0.04</v>
      </c>
      <c r="P24" s="6">
        <f t="shared" si="18"/>
        <v>722.13239999999996</v>
      </c>
      <c r="Q24" s="240"/>
      <c r="R24" s="243">
        <f t="shared" si="7"/>
        <v>2.0799999999999999E-2</v>
      </c>
      <c r="S24" s="88">
        <f t="shared" si="13"/>
        <v>0</v>
      </c>
      <c r="T24" s="88">
        <f t="shared" si="14"/>
        <v>0</v>
      </c>
      <c r="U24" s="50">
        <f t="shared" si="19"/>
        <v>2.4E-2</v>
      </c>
    </row>
    <row r="25" spans="1:21" x14ac:dyDescent="0.25">
      <c r="A25" s="5">
        <f>A24+25</f>
        <v>20300</v>
      </c>
      <c r="B25" s="19">
        <v>68885.2</v>
      </c>
      <c r="C25" s="239">
        <v>9.4999999999999998E-3</v>
      </c>
      <c r="D25" s="13">
        <v>722.6</v>
      </c>
      <c r="E25" s="51">
        <f t="shared" si="15"/>
        <v>-1.6E-2</v>
      </c>
      <c r="F25" s="88">
        <v>10.1</v>
      </c>
      <c r="G25" s="2">
        <f t="shared" si="16"/>
        <v>-1.6E-2</v>
      </c>
      <c r="H25" s="1">
        <f t="shared" si="10"/>
        <v>722.4384</v>
      </c>
      <c r="I25" s="50">
        <v>24</v>
      </c>
      <c r="J25" s="51">
        <v>-1.6E-2</v>
      </c>
      <c r="K25" s="13">
        <f t="shared" si="17"/>
        <v>722.24639999999999</v>
      </c>
      <c r="L25" s="1">
        <f t="shared" si="11"/>
        <v>722.05439999999999</v>
      </c>
      <c r="M25" s="104">
        <f t="shared" si="12"/>
        <v>-2.1920000000000071E-2</v>
      </c>
      <c r="N25" s="12">
        <v>12</v>
      </c>
      <c r="O25" s="12">
        <v>-0.04</v>
      </c>
      <c r="P25" s="6">
        <f t="shared" si="18"/>
        <v>721.57439999999997</v>
      </c>
      <c r="Q25" s="240"/>
      <c r="R25" s="243">
        <f t="shared" si="7"/>
        <v>2.5500000000000002E-2</v>
      </c>
      <c r="S25" s="88">
        <f t="shared" si="13"/>
        <v>0</v>
      </c>
      <c r="T25" s="88">
        <f t="shared" si="14"/>
        <v>0</v>
      </c>
      <c r="U25" s="50">
        <f t="shared" si="19"/>
        <v>2.4E-2</v>
      </c>
    </row>
    <row r="26" spans="1:21" x14ac:dyDescent="0.25">
      <c r="A26" s="5">
        <f t="shared" ref="A26:A40" si="20">A25+25</f>
        <v>20325</v>
      </c>
      <c r="B26" s="19">
        <v>68910.2</v>
      </c>
      <c r="C26" s="239">
        <v>1.4200000000000001E-2</v>
      </c>
      <c r="D26" s="13">
        <v>722.06</v>
      </c>
      <c r="E26" s="51">
        <f>E25</f>
        <v>-1.6E-2</v>
      </c>
      <c r="F26" s="50">
        <v>10.6</v>
      </c>
      <c r="G26" s="2">
        <f t="shared" ref="G26:G41" si="21">E26</f>
        <v>-1.6E-2</v>
      </c>
      <c r="H26" s="1">
        <f t="shared" si="10"/>
        <v>721.8904</v>
      </c>
      <c r="I26" s="50">
        <v>24</v>
      </c>
      <c r="J26" s="51">
        <v>-1.6E-2</v>
      </c>
      <c r="K26" s="13">
        <f t="shared" si="17"/>
        <v>721.69839999999999</v>
      </c>
      <c r="L26" s="1">
        <f t="shared" si="11"/>
        <v>721.50639999999999</v>
      </c>
      <c r="M26" s="104">
        <f t="shared" si="12"/>
        <v>-2.1920000000000071E-2</v>
      </c>
      <c r="N26" s="12">
        <v>12</v>
      </c>
      <c r="O26" s="12">
        <v>-0.04</v>
      </c>
      <c r="P26" s="6">
        <f t="shared" si="18"/>
        <v>721.02639999999997</v>
      </c>
      <c r="Q26" s="240"/>
      <c r="R26" s="243">
        <f t="shared" si="7"/>
        <v>3.0200000000000001E-2</v>
      </c>
      <c r="S26" s="88">
        <f t="shared" si="13"/>
        <v>0</v>
      </c>
      <c r="T26" s="88">
        <f t="shared" si="14"/>
        <v>0</v>
      </c>
      <c r="U26" s="50">
        <f t="shared" si="19"/>
        <v>2.4E-2</v>
      </c>
    </row>
    <row r="27" spans="1:21" x14ac:dyDescent="0.25">
      <c r="A27" s="5">
        <f t="shared" si="20"/>
        <v>20350</v>
      </c>
      <c r="B27" s="19">
        <v>68935.19</v>
      </c>
      <c r="C27" s="239">
        <v>1.6E-2</v>
      </c>
      <c r="D27" s="13">
        <v>721.52</v>
      </c>
      <c r="E27" s="51">
        <f>E26</f>
        <v>-1.6E-2</v>
      </c>
      <c r="F27" s="50">
        <v>11.1</v>
      </c>
      <c r="G27" s="2">
        <f t="shared" si="21"/>
        <v>-1.6E-2</v>
      </c>
      <c r="H27" s="1">
        <f t="shared" si="10"/>
        <v>721.3424</v>
      </c>
      <c r="I27" s="50">
        <v>24</v>
      </c>
      <c r="J27" s="51">
        <v>-1.6E-2</v>
      </c>
      <c r="K27" s="13">
        <f t="shared" si="17"/>
        <v>721.15039999999999</v>
      </c>
      <c r="L27" s="1">
        <f t="shared" si="11"/>
        <v>720.95839999999998</v>
      </c>
      <c r="M27" s="104">
        <f t="shared" si="12"/>
        <v>-2.1920000000000071E-2</v>
      </c>
      <c r="N27" s="12">
        <v>12</v>
      </c>
      <c r="O27" s="12">
        <v>-0.04</v>
      </c>
      <c r="P27" s="6">
        <f t="shared" si="18"/>
        <v>720.47839999999997</v>
      </c>
      <c r="Q27" s="240"/>
      <c r="R27" s="243">
        <f>C27-E27</f>
        <v>3.2000000000000001E-2</v>
      </c>
      <c r="S27" s="88">
        <f t="shared" si="13"/>
        <v>0</v>
      </c>
      <c r="T27" s="88">
        <f t="shared" si="14"/>
        <v>0</v>
      </c>
      <c r="U27" s="50">
        <f t="shared" si="19"/>
        <v>2.4E-2</v>
      </c>
    </row>
    <row r="28" spans="1:21" x14ac:dyDescent="0.25">
      <c r="A28" s="5">
        <f t="shared" si="20"/>
        <v>20375</v>
      </c>
      <c r="B28" s="19">
        <v>68960.19</v>
      </c>
      <c r="C28" s="239">
        <f>C27</f>
        <v>1.6E-2</v>
      </c>
      <c r="D28" s="13">
        <v>720.98</v>
      </c>
      <c r="E28" s="51">
        <f>E27</f>
        <v>-1.6E-2</v>
      </c>
      <c r="F28" s="50">
        <v>11.6</v>
      </c>
      <c r="G28" s="2">
        <f t="shared" si="21"/>
        <v>-1.6E-2</v>
      </c>
      <c r="H28" s="1">
        <f t="shared" si="10"/>
        <v>720.7944</v>
      </c>
      <c r="I28" s="50">
        <v>24</v>
      </c>
      <c r="J28" s="51">
        <v>-1.6E-2</v>
      </c>
      <c r="K28" s="13">
        <f t="shared" si="17"/>
        <v>720.60239999999999</v>
      </c>
      <c r="L28" s="1">
        <f t="shared" si="11"/>
        <v>720.41039999999998</v>
      </c>
      <c r="M28" s="104">
        <f t="shared" si="12"/>
        <v>-2.0319999999996979E-2</v>
      </c>
      <c r="N28" s="12">
        <v>12</v>
      </c>
      <c r="O28" s="12">
        <v>-0.04</v>
      </c>
      <c r="P28" s="6">
        <f t="shared" si="18"/>
        <v>719.93039999999996</v>
      </c>
      <c r="Q28" s="240"/>
      <c r="R28" s="243">
        <f t="shared" ref="R28:R41" si="22">C28-E28</f>
        <v>3.2000000000000001E-2</v>
      </c>
      <c r="S28" s="88">
        <f t="shared" si="13"/>
        <v>0</v>
      </c>
      <c r="T28" s="88">
        <f t="shared" si="14"/>
        <v>0</v>
      </c>
      <c r="U28" s="50">
        <f t="shared" si="19"/>
        <v>2.4E-2</v>
      </c>
    </row>
    <row r="29" spans="1:21" x14ac:dyDescent="0.25">
      <c r="A29" s="5">
        <f t="shared" si="20"/>
        <v>20400</v>
      </c>
      <c r="B29" s="19">
        <v>68985.179999999993</v>
      </c>
      <c r="C29" s="239">
        <f>C28</f>
        <v>1.6E-2</v>
      </c>
      <c r="D29" s="13">
        <v>720.48</v>
      </c>
      <c r="E29" s="51">
        <f>E28</f>
        <v>-1.6E-2</v>
      </c>
      <c r="F29" s="50">
        <v>12.1</v>
      </c>
      <c r="G29" s="2">
        <f t="shared" si="21"/>
        <v>-1.6E-2</v>
      </c>
      <c r="H29" s="1">
        <f t="shared" si="10"/>
        <v>720.28640000000007</v>
      </c>
      <c r="I29" s="50">
        <v>24</v>
      </c>
      <c r="J29" s="51">
        <v>-1.6E-2</v>
      </c>
      <c r="K29" s="13">
        <f t="shared" si="17"/>
        <v>720.09440000000006</v>
      </c>
      <c r="L29" s="1">
        <f t="shared" si="11"/>
        <v>719.90240000000006</v>
      </c>
      <c r="M29" s="104">
        <f t="shared" si="12"/>
        <v>-1.8720000000002984E-2</v>
      </c>
      <c r="N29" s="12">
        <v>12</v>
      </c>
      <c r="O29" s="12">
        <v>-0.04</v>
      </c>
      <c r="P29" s="6">
        <f t="shared" si="18"/>
        <v>719.42240000000004</v>
      </c>
      <c r="Q29" s="240"/>
      <c r="R29" s="243">
        <f t="shared" si="22"/>
        <v>3.2000000000000001E-2</v>
      </c>
      <c r="S29" s="88">
        <f t="shared" si="13"/>
        <v>0</v>
      </c>
      <c r="T29" s="88">
        <f t="shared" si="14"/>
        <v>0</v>
      </c>
      <c r="U29" s="50">
        <f t="shared" si="19"/>
        <v>2.4E-2</v>
      </c>
    </row>
    <row r="30" spans="1:21" x14ac:dyDescent="0.25">
      <c r="A30" s="5">
        <f t="shared" si="20"/>
        <v>20425</v>
      </c>
      <c r="B30" s="19">
        <v>69010.179999999993</v>
      </c>
      <c r="C30" s="239">
        <f>C29</f>
        <v>1.6E-2</v>
      </c>
      <c r="D30" s="13">
        <v>720.02</v>
      </c>
      <c r="E30" s="51">
        <f>E29</f>
        <v>-1.6E-2</v>
      </c>
      <c r="F30" s="50">
        <v>12.6</v>
      </c>
      <c r="G30" s="2">
        <f t="shared" si="21"/>
        <v>-1.6E-2</v>
      </c>
      <c r="H30" s="1">
        <f t="shared" si="10"/>
        <v>719.8184</v>
      </c>
      <c r="I30" s="50">
        <v>24</v>
      </c>
      <c r="J30" s="51">
        <v>-1.6E-2</v>
      </c>
      <c r="K30" s="13">
        <f t="shared" si="17"/>
        <v>719.62639999999999</v>
      </c>
      <c r="L30" s="1">
        <f t="shared" si="11"/>
        <v>719.43439999999998</v>
      </c>
      <c r="M30" s="104">
        <f t="shared" si="12"/>
        <v>-1.7519999999999526E-2</v>
      </c>
      <c r="N30" s="12">
        <v>12</v>
      </c>
      <c r="O30" s="12">
        <v>-0.04</v>
      </c>
      <c r="P30" s="6">
        <f t="shared" si="18"/>
        <v>718.95439999999996</v>
      </c>
      <c r="Q30" s="240"/>
      <c r="R30" s="243">
        <f t="shared" si="22"/>
        <v>3.2000000000000001E-2</v>
      </c>
      <c r="S30" s="88">
        <f t="shared" si="13"/>
        <v>0</v>
      </c>
      <c r="T30" s="88">
        <f t="shared" si="14"/>
        <v>0</v>
      </c>
      <c r="U30" s="50">
        <f t="shared" si="19"/>
        <v>2.4E-2</v>
      </c>
    </row>
    <row r="31" spans="1:21" s="9" customFormat="1" x14ac:dyDescent="0.25">
      <c r="A31" s="5">
        <f t="shared" si="20"/>
        <v>20450</v>
      </c>
      <c r="B31" s="20">
        <v>69035.17</v>
      </c>
      <c r="C31" s="239">
        <f t="shared" ref="C31:C36" si="23">C30</f>
        <v>1.6E-2</v>
      </c>
      <c r="D31" s="16">
        <v>719.59</v>
      </c>
      <c r="E31" s="51">
        <f t="shared" ref="E31:E40" si="24">E30</f>
        <v>-1.6E-2</v>
      </c>
      <c r="F31" s="89">
        <v>13.1</v>
      </c>
      <c r="G31" s="18">
        <f t="shared" si="21"/>
        <v>-1.6E-2</v>
      </c>
      <c r="H31" s="1">
        <f t="shared" si="10"/>
        <v>719.38040000000001</v>
      </c>
      <c r="I31" s="89">
        <v>24</v>
      </c>
      <c r="J31" s="51">
        <v>-1.6E-2</v>
      </c>
      <c r="K31" s="13">
        <f t="shared" si="17"/>
        <v>719.1884</v>
      </c>
      <c r="L31" s="1">
        <f t="shared" si="11"/>
        <v>718.99639999999999</v>
      </c>
      <c r="M31" s="104">
        <f t="shared" si="12"/>
        <v>-1.5519999999996799E-2</v>
      </c>
      <c r="N31" s="12">
        <v>12</v>
      </c>
      <c r="O31" s="12">
        <v>-0.04</v>
      </c>
      <c r="P31" s="6">
        <f t="shared" si="18"/>
        <v>718.51639999999998</v>
      </c>
      <c r="Q31" s="240"/>
      <c r="R31" s="243">
        <f t="shared" si="22"/>
        <v>3.2000000000000001E-2</v>
      </c>
      <c r="S31" s="88">
        <f t="shared" si="13"/>
        <v>0</v>
      </c>
      <c r="T31" s="88">
        <f t="shared" si="14"/>
        <v>0</v>
      </c>
      <c r="U31" s="50">
        <f t="shared" si="19"/>
        <v>2.4E-2</v>
      </c>
    </row>
    <row r="32" spans="1:21" s="9" customFormat="1" x14ac:dyDescent="0.25">
      <c r="A32" s="5">
        <f t="shared" si="20"/>
        <v>20475</v>
      </c>
      <c r="B32" s="20">
        <v>69060.17</v>
      </c>
      <c r="C32" s="239">
        <f t="shared" si="23"/>
        <v>1.6E-2</v>
      </c>
      <c r="D32" s="16">
        <v>719.21</v>
      </c>
      <c r="E32" s="51">
        <f t="shared" si="24"/>
        <v>-1.6E-2</v>
      </c>
      <c r="F32" s="89">
        <v>13.6</v>
      </c>
      <c r="G32" s="18">
        <f t="shared" si="21"/>
        <v>-1.6E-2</v>
      </c>
      <c r="H32" s="1">
        <f t="shared" si="10"/>
        <v>718.99240000000009</v>
      </c>
      <c r="I32" s="89">
        <v>24</v>
      </c>
      <c r="J32" s="51">
        <v>-1.6E-2</v>
      </c>
      <c r="K32" s="13">
        <f t="shared" si="17"/>
        <v>718.80040000000008</v>
      </c>
      <c r="L32" s="1">
        <f t="shared" si="11"/>
        <v>718.60840000000007</v>
      </c>
      <c r="M32" s="104">
        <f t="shared" si="12"/>
        <v>-1.4320000000002437E-2</v>
      </c>
      <c r="N32" s="12">
        <v>12</v>
      </c>
      <c r="O32" s="12">
        <v>-0.04</v>
      </c>
      <c r="P32" s="6">
        <f t="shared" si="18"/>
        <v>718.12840000000006</v>
      </c>
      <c r="Q32" s="240"/>
      <c r="R32" s="243">
        <f t="shared" si="22"/>
        <v>3.2000000000000001E-2</v>
      </c>
      <c r="S32" s="88">
        <f t="shared" si="13"/>
        <v>0</v>
      </c>
      <c r="T32" s="88">
        <f t="shared" si="14"/>
        <v>0</v>
      </c>
      <c r="U32" s="50">
        <f t="shared" si="19"/>
        <v>2.4E-2</v>
      </c>
    </row>
    <row r="33" spans="1:21" s="9" customFormat="1" x14ac:dyDescent="0.25">
      <c r="A33" s="5">
        <f t="shared" si="20"/>
        <v>20500</v>
      </c>
      <c r="B33" s="20">
        <v>69085.16</v>
      </c>
      <c r="C33" s="239">
        <f t="shared" si="23"/>
        <v>1.6E-2</v>
      </c>
      <c r="D33" s="16">
        <v>718.86</v>
      </c>
      <c r="E33" s="51">
        <f t="shared" si="24"/>
        <v>-1.6E-2</v>
      </c>
      <c r="F33" s="89">
        <v>14.1</v>
      </c>
      <c r="G33" s="18">
        <f t="shared" si="21"/>
        <v>-1.6E-2</v>
      </c>
      <c r="H33" s="1">
        <f t="shared" si="10"/>
        <v>718.63440000000003</v>
      </c>
      <c r="I33" s="89">
        <v>24</v>
      </c>
      <c r="J33" s="51">
        <v>-1.6E-2</v>
      </c>
      <c r="K33" s="13">
        <f t="shared" si="17"/>
        <v>718.44240000000002</v>
      </c>
      <c r="L33" s="1">
        <f t="shared" si="11"/>
        <v>718.25040000000001</v>
      </c>
      <c r="M33" s="104">
        <f t="shared" si="12"/>
        <v>-1.2720000000003893E-2</v>
      </c>
      <c r="N33" s="12">
        <v>12</v>
      </c>
      <c r="O33" s="12">
        <v>-0.04</v>
      </c>
      <c r="P33" s="6">
        <f t="shared" si="18"/>
        <v>717.7704</v>
      </c>
      <c r="Q33" s="240"/>
      <c r="R33" s="243">
        <f t="shared" si="22"/>
        <v>3.2000000000000001E-2</v>
      </c>
      <c r="S33" s="88">
        <f t="shared" si="13"/>
        <v>0</v>
      </c>
      <c r="T33" s="88">
        <f t="shared" si="14"/>
        <v>0</v>
      </c>
      <c r="U33" s="50">
        <f t="shared" si="19"/>
        <v>2.4E-2</v>
      </c>
    </row>
    <row r="34" spans="1:21" s="9" customFormat="1" x14ac:dyDescent="0.25">
      <c r="A34" s="5">
        <f>A33+25</f>
        <v>20525</v>
      </c>
      <c r="B34" s="22">
        <v>69110.16</v>
      </c>
      <c r="C34" s="239">
        <f t="shared" si="23"/>
        <v>1.6E-2</v>
      </c>
      <c r="D34" s="13">
        <v>718.55</v>
      </c>
      <c r="E34" s="51">
        <f>E33</f>
        <v>-1.6E-2</v>
      </c>
      <c r="F34" s="50">
        <v>14.6</v>
      </c>
      <c r="G34" s="18">
        <f t="shared" si="21"/>
        <v>-1.6E-2</v>
      </c>
      <c r="H34" s="1">
        <f t="shared" si="10"/>
        <v>718.31639999999993</v>
      </c>
      <c r="I34" s="89">
        <v>24</v>
      </c>
      <c r="J34" s="51">
        <v>-1.6E-2</v>
      </c>
      <c r="K34" s="13">
        <f t="shared" si="17"/>
        <v>718.12439999999992</v>
      </c>
      <c r="L34" s="1">
        <f t="shared" si="11"/>
        <v>717.93239999999992</v>
      </c>
      <c r="M34" s="104">
        <f t="shared" si="12"/>
        <v>-1.1119999999996253E-2</v>
      </c>
      <c r="N34" s="12"/>
      <c r="O34" s="12"/>
      <c r="P34" s="6"/>
      <c r="Q34" s="240"/>
      <c r="R34" s="243">
        <f t="shared" si="22"/>
        <v>3.2000000000000001E-2</v>
      </c>
      <c r="S34" s="88">
        <f t="shared" si="13"/>
        <v>0</v>
      </c>
      <c r="T34" s="88">
        <f t="shared" si="14"/>
        <v>0</v>
      </c>
    </row>
    <row r="35" spans="1:21" x14ac:dyDescent="0.25">
      <c r="A35" s="5">
        <f t="shared" si="20"/>
        <v>20550</v>
      </c>
      <c r="B35" s="22">
        <v>69135.149999999994</v>
      </c>
      <c r="C35" s="239">
        <f t="shared" si="23"/>
        <v>1.6E-2</v>
      </c>
      <c r="D35" s="1">
        <v>718.28</v>
      </c>
      <c r="E35" s="51">
        <f t="shared" si="24"/>
        <v>-1.6E-2</v>
      </c>
      <c r="F35" s="50">
        <v>15.1</v>
      </c>
      <c r="G35" s="18">
        <f t="shared" si="21"/>
        <v>-1.6E-2</v>
      </c>
      <c r="H35" s="1">
        <f t="shared" si="10"/>
        <v>718.03840000000002</v>
      </c>
      <c r="I35" s="89">
        <v>24</v>
      </c>
      <c r="J35" s="51">
        <v>-1.6E-2</v>
      </c>
      <c r="K35" s="13">
        <f t="shared" si="17"/>
        <v>717.84640000000002</v>
      </c>
      <c r="L35" s="1">
        <f t="shared" si="11"/>
        <v>717.65440000000001</v>
      </c>
      <c r="M35" s="104">
        <f t="shared" si="12"/>
        <v>-9.5200000000022558E-3</v>
      </c>
      <c r="N35" s="12"/>
      <c r="O35" s="12"/>
      <c r="P35" s="6"/>
      <c r="Q35" s="240"/>
      <c r="R35" s="243">
        <f t="shared" si="22"/>
        <v>3.2000000000000001E-2</v>
      </c>
      <c r="S35" s="88">
        <f t="shared" si="13"/>
        <v>0</v>
      </c>
      <c r="T35" s="88">
        <f t="shared" si="14"/>
        <v>0</v>
      </c>
    </row>
    <row r="36" spans="1:21" x14ac:dyDescent="0.25">
      <c r="A36" s="5">
        <f t="shared" si="20"/>
        <v>20575</v>
      </c>
      <c r="B36" s="22">
        <v>69160.149999999994</v>
      </c>
      <c r="C36" s="239">
        <f t="shared" si="23"/>
        <v>1.6E-2</v>
      </c>
      <c r="D36" s="1">
        <v>718.05</v>
      </c>
      <c r="E36" s="51">
        <f t="shared" si="24"/>
        <v>-1.6E-2</v>
      </c>
      <c r="F36" s="50">
        <v>15.6</v>
      </c>
      <c r="G36" s="18">
        <f t="shared" si="21"/>
        <v>-1.6E-2</v>
      </c>
      <c r="H36" s="1">
        <f t="shared" si="10"/>
        <v>717.80039999999997</v>
      </c>
      <c r="I36" s="89">
        <v>24</v>
      </c>
      <c r="J36" s="51">
        <v>-1.6E-2</v>
      </c>
      <c r="K36" s="13">
        <f t="shared" si="17"/>
        <v>717.60839999999996</v>
      </c>
      <c r="L36" s="1">
        <f t="shared" si="11"/>
        <v>717.41639999999995</v>
      </c>
      <c r="M36" s="104">
        <f t="shared" si="12"/>
        <v>-4.760836308004013E-3</v>
      </c>
      <c r="N36" s="12"/>
      <c r="O36" s="12"/>
      <c r="P36" s="6"/>
      <c r="Q36" s="240"/>
      <c r="R36" s="243">
        <f t="shared" si="22"/>
        <v>3.2000000000000001E-2</v>
      </c>
      <c r="S36" s="88">
        <f t="shared" si="13"/>
        <v>0</v>
      </c>
      <c r="T36" s="88">
        <f t="shared" si="14"/>
        <v>0</v>
      </c>
    </row>
    <row r="37" spans="1:21" s="9" customFormat="1" x14ac:dyDescent="0.25">
      <c r="A37" s="105">
        <v>20594.61</v>
      </c>
      <c r="B37" s="106">
        <v>69171.09</v>
      </c>
      <c r="C37" s="108">
        <f>C36</f>
        <v>1.6E-2</v>
      </c>
      <c r="D37" s="107">
        <v>717.96</v>
      </c>
      <c r="E37" s="108">
        <f t="shared" si="24"/>
        <v>-1.6E-2</v>
      </c>
      <c r="F37" s="109">
        <v>15.81</v>
      </c>
      <c r="G37" s="110">
        <f t="shared" si="21"/>
        <v>-1.6E-2</v>
      </c>
      <c r="H37" s="107">
        <f t="shared" si="10"/>
        <v>717.70704000000001</v>
      </c>
      <c r="I37" s="111">
        <v>24</v>
      </c>
      <c r="J37" s="108">
        <v>-1.6E-2</v>
      </c>
      <c r="K37" s="13">
        <f t="shared" si="17"/>
        <v>717.51504</v>
      </c>
      <c r="L37" s="107">
        <f t="shared" si="11"/>
        <v>717.32303999999999</v>
      </c>
      <c r="M37" s="112">
        <f t="shared" si="12"/>
        <v>-2.1269016697592003E-2</v>
      </c>
      <c r="N37" s="109"/>
      <c r="O37" s="109"/>
      <c r="P37" s="113"/>
      <c r="Q37" s="241"/>
      <c r="R37" s="243">
        <f t="shared" si="22"/>
        <v>3.2000000000000001E-2</v>
      </c>
      <c r="S37" s="88">
        <f t="shared" si="13"/>
        <v>0</v>
      </c>
      <c r="T37" s="88">
        <f t="shared" si="14"/>
        <v>0</v>
      </c>
    </row>
    <row r="38" spans="1:21" x14ac:dyDescent="0.25">
      <c r="A38" s="5">
        <f>A36+25</f>
        <v>20600</v>
      </c>
      <c r="B38" s="22">
        <v>69185.14</v>
      </c>
      <c r="C38" s="2">
        <f>C37</f>
        <v>1.6E-2</v>
      </c>
      <c r="D38" s="1">
        <v>717.85</v>
      </c>
      <c r="E38" s="51">
        <f>E36</f>
        <v>-1.6E-2</v>
      </c>
      <c r="F38" s="50">
        <v>16.100000000000001</v>
      </c>
      <c r="G38" s="18">
        <f t="shared" si="21"/>
        <v>-1.6E-2</v>
      </c>
      <c r="H38" s="1">
        <f t="shared" si="10"/>
        <v>717.5924</v>
      </c>
      <c r="I38" s="89">
        <v>24</v>
      </c>
      <c r="J38" s="51">
        <v>-1.6E-2</v>
      </c>
      <c r="K38" s="13">
        <f t="shared" si="17"/>
        <v>717.40039999999999</v>
      </c>
      <c r="L38" s="1">
        <f t="shared" si="11"/>
        <v>717.20839999999998</v>
      </c>
      <c r="M38" s="104">
        <f t="shared" si="12"/>
        <v>-6.3199999999960709E-3</v>
      </c>
      <c r="N38" s="7"/>
      <c r="O38" s="7"/>
      <c r="P38" s="24"/>
      <c r="Q38" s="65"/>
      <c r="R38" s="243">
        <f t="shared" si="22"/>
        <v>3.2000000000000001E-2</v>
      </c>
      <c r="S38" s="88">
        <f t="shared" si="13"/>
        <v>0</v>
      </c>
      <c r="T38" s="88">
        <f t="shared" si="14"/>
        <v>0</v>
      </c>
    </row>
    <row r="39" spans="1:21" x14ac:dyDescent="0.25">
      <c r="A39" s="5">
        <f t="shared" si="20"/>
        <v>20625</v>
      </c>
      <c r="B39" s="22">
        <v>69210.14</v>
      </c>
      <c r="C39" s="2">
        <f>C38</f>
        <v>1.6E-2</v>
      </c>
      <c r="D39" s="1">
        <v>717.7</v>
      </c>
      <c r="E39" s="51">
        <f t="shared" si="24"/>
        <v>-1.6E-2</v>
      </c>
      <c r="F39" s="50">
        <v>16.600000000000001</v>
      </c>
      <c r="G39" s="18">
        <f t="shared" si="21"/>
        <v>-1.6E-2</v>
      </c>
      <c r="H39" s="1">
        <f t="shared" si="10"/>
        <v>717.4344000000001</v>
      </c>
      <c r="I39" s="89">
        <v>24</v>
      </c>
      <c r="J39" s="51">
        <v>-1.6E-2</v>
      </c>
      <c r="K39" s="13">
        <f t="shared" si="17"/>
        <v>717.24240000000009</v>
      </c>
      <c r="L39" s="1">
        <f t="shared" si="11"/>
        <v>717.05040000000008</v>
      </c>
      <c r="M39" s="104">
        <f t="shared" si="12"/>
        <v>-5.12000000000171E-3</v>
      </c>
      <c r="N39" s="7"/>
      <c r="O39" s="7"/>
      <c r="P39" s="24"/>
      <c r="Q39" s="65"/>
      <c r="R39" s="243">
        <f t="shared" si="22"/>
        <v>3.2000000000000001E-2</v>
      </c>
      <c r="S39" s="88">
        <f t="shared" si="13"/>
        <v>0</v>
      </c>
      <c r="T39" s="88">
        <f t="shared" si="14"/>
        <v>0</v>
      </c>
    </row>
    <row r="40" spans="1:21" x14ac:dyDescent="0.25">
      <c r="A40" s="5">
        <f t="shared" si="20"/>
        <v>20650</v>
      </c>
      <c r="B40" s="22">
        <v>69235.13</v>
      </c>
      <c r="C40" s="2">
        <f>C39</f>
        <v>1.6E-2</v>
      </c>
      <c r="D40" s="1">
        <v>717.58</v>
      </c>
      <c r="E40" s="51">
        <f t="shared" si="24"/>
        <v>-1.6E-2</v>
      </c>
      <c r="F40" s="50">
        <v>17.100000000000001</v>
      </c>
      <c r="G40" s="18">
        <f t="shared" si="21"/>
        <v>-1.6E-2</v>
      </c>
      <c r="H40" s="54">
        <f t="shared" si="10"/>
        <v>717.30640000000005</v>
      </c>
      <c r="I40" s="89">
        <v>24</v>
      </c>
      <c r="J40" s="51">
        <v>-1.6E-2</v>
      </c>
      <c r="K40" s="13">
        <f t="shared" si="17"/>
        <v>717.11440000000005</v>
      </c>
      <c r="L40" s="1">
        <f t="shared" si="11"/>
        <v>716.92240000000004</v>
      </c>
      <c r="M40" s="104">
        <f t="shared" si="12"/>
        <v>-3.1200000000035288E-3</v>
      </c>
      <c r="N40" s="7"/>
      <c r="O40" s="7"/>
      <c r="P40" s="24"/>
      <c r="Q40" s="65"/>
      <c r="R40" s="243">
        <f t="shared" si="22"/>
        <v>3.2000000000000001E-2</v>
      </c>
      <c r="S40" s="88">
        <f t="shared" si="13"/>
        <v>0</v>
      </c>
      <c r="T40" s="88">
        <f t="shared" si="14"/>
        <v>0</v>
      </c>
    </row>
    <row r="41" spans="1:21" x14ac:dyDescent="0.25">
      <c r="A41" s="244">
        <f>A40+25</f>
        <v>20675</v>
      </c>
      <c r="B41" s="247">
        <v>69260.126099999994</v>
      </c>
      <c r="C41" s="18">
        <f t="shared" ref="C41" si="25">C40</f>
        <v>1.6E-2</v>
      </c>
      <c r="D41" s="249">
        <v>717.51</v>
      </c>
      <c r="E41" s="256">
        <v>-1.6E-2</v>
      </c>
      <c r="F41" s="248">
        <v>17.600000000000001</v>
      </c>
      <c r="G41" s="18">
        <f t="shared" si="21"/>
        <v>-1.6E-2</v>
      </c>
      <c r="H41" s="257">
        <f t="shared" si="10"/>
        <v>717.22839999999997</v>
      </c>
      <c r="I41" s="89">
        <v>24</v>
      </c>
      <c r="J41" s="256">
        <v>-1.6E-2</v>
      </c>
      <c r="K41" s="249">
        <f>(J41*-12)+L41</f>
        <v>717.03639999999996</v>
      </c>
      <c r="L41" s="63">
        <f t="shared" si="11"/>
        <v>716.84439999999995</v>
      </c>
      <c r="M41" s="258">
        <f t="shared" si="12"/>
        <v>3.4672038694074966E-2</v>
      </c>
      <c r="R41" s="243">
        <f t="shared" si="22"/>
        <v>3.2000000000000001E-2</v>
      </c>
      <c r="S41" s="250">
        <f t="shared" si="13"/>
        <v>0</v>
      </c>
      <c r="T41" s="250">
        <f t="shared" si="14"/>
        <v>0</v>
      </c>
    </row>
    <row r="42" spans="1:21" s="40" customFormat="1" x14ac:dyDescent="0.25">
      <c r="A42" s="259"/>
      <c r="B42" s="199"/>
      <c r="C42" s="195"/>
      <c r="D42" s="194"/>
      <c r="E42" s="195"/>
      <c r="F42" s="196"/>
      <c r="G42" s="195"/>
      <c r="H42" s="194"/>
      <c r="I42" s="196"/>
      <c r="J42" s="195"/>
      <c r="K42" s="194"/>
      <c r="L42" s="194"/>
      <c r="M42" s="195"/>
      <c r="R42" s="260"/>
    </row>
    <row r="43" spans="1:21" s="40" customFormat="1" x14ac:dyDescent="0.25">
      <c r="A43" s="259"/>
      <c r="B43" s="199"/>
      <c r="C43" s="195"/>
      <c r="D43" s="194"/>
      <c r="E43" s="195"/>
      <c r="F43" s="196"/>
      <c r="G43" s="195"/>
      <c r="H43" s="194"/>
      <c r="I43" s="196"/>
      <c r="J43" s="195"/>
      <c r="K43" s="194"/>
      <c r="L43" s="194"/>
      <c r="M43" s="195"/>
      <c r="R43" s="260"/>
    </row>
    <row r="44" spans="1:21" s="40" customFormat="1" x14ac:dyDescent="0.25">
      <c r="A44" s="259"/>
      <c r="B44" s="199"/>
      <c r="C44" s="195"/>
      <c r="D44" s="194"/>
      <c r="E44" s="195"/>
      <c r="F44" s="196"/>
      <c r="G44" s="195"/>
      <c r="H44" s="194"/>
      <c r="I44" s="196"/>
      <c r="J44" s="195"/>
      <c r="K44" s="194"/>
      <c r="L44" s="194"/>
      <c r="M44" s="195"/>
      <c r="R44" s="260"/>
    </row>
    <row r="45" spans="1:21" s="40" customFormat="1" x14ac:dyDescent="0.25">
      <c r="A45" s="259"/>
      <c r="B45" s="199"/>
      <c r="C45" s="195"/>
      <c r="D45" s="194"/>
      <c r="E45" s="195"/>
      <c r="F45" s="196"/>
      <c r="G45" s="195"/>
      <c r="H45" s="194"/>
      <c r="I45" s="196"/>
      <c r="J45" s="195"/>
      <c r="K45" s="194"/>
      <c r="L45" s="194"/>
      <c r="M45" s="195"/>
      <c r="R45" s="260"/>
    </row>
    <row r="46" spans="1:21" s="40" customFormat="1" x14ac:dyDescent="0.25">
      <c r="A46" s="259"/>
      <c r="B46" s="199"/>
      <c r="C46" s="195"/>
      <c r="D46" s="194"/>
      <c r="E46" s="195"/>
      <c r="F46" s="196"/>
      <c r="G46" s="195"/>
      <c r="H46" s="194"/>
      <c r="I46" s="196"/>
      <c r="J46" s="195"/>
      <c r="K46" s="194"/>
      <c r="L46" s="194"/>
      <c r="M46" s="195"/>
      <c r="R46" s="260"/>
    </row>
    <row r="47" spans="1:21" s="40" customFormat="1" x14ac:dyDescent="0.25">
      <c r="A47" s="259"/>
      <c r="B47" s="199"/>
      <c r="C47" s="195"/>
      <c r="D47" s="194"/>
      <c r="E47" s="195"/>
      <c r="F47" s="196"/>
      <c r="G47" s="195"/>
      <c r="H47" s="194"/>
      <c r="I47" s="196"/>
      <c r="J47" s="195"/>
      <c r="K47" s="194"/>
      <c r="L47" s="194"/>
      <c r="M47" s="195"/>
      <c r="R47" s="260"/>
    </row>
    <row r="48" spans="1:21" s="40" customFormat="1" x14ac:dyDescent="0.25">
      <c r="A48" s="259"/>
      <c r="B48" s="199"/>
      <c r="C48" s="195"/>
      <c r="D48" s="194"/>
      <c r="E48" s="195"/>
      <c r="F48" s="196"/>
      <c r="G48" s="195"/>
      <c r="H48" s="194"/>
      <c r="I48" s="196"/>
      <c r="J48" s="195"/>
      <c r="K48" s="194"/>
      <c r="L48" s="194"/>
      <c r="M48" s="195"/>
      <c r="R48" s="260"/>
    </row>
    <row r="49" spans="1:18" s="40" customFormat="1" x14ac:dyDescent="0.25">
      <c r="A49" s="259"/>
      <c r="B49" s="199"/>
      <c r="C49" s="195"/>
      <c r="D49" s="194"/>
      <c r="E49" s="195"/>
      <c r="F49" s="196"/>
      <c r="G49" s="195"/>
      <c r="H49" s="194"/>
      <c r="I49" s="196"/>
      <c r="J49" s="195"/>
      <c r="K49" s="194"/>
      <c r="L49" s="194"/>
      <c r="M49" s="195"/>
      <c r="R49" s="260"/>
    </row>
    <row r="50" spans="1:18" s="40" customFormat="1" x14ac:dyDescent="0.25">
      <c r="A50" s="259"/>
      <c r="B50" s="199"/>
      <c r="C50" s="195"/>
      <c r="D50" s="194"/>
      <c r="E50" s="195"/>
      <c r="F50" s="196"/>
      <c r="G50" s="195"/>
      <c r="H50" s="194"/>
      <c r="I50" s="196"/>
      <c r="J50" s="195"/>
      <c r="K50" s="194"/>
      <c r="L50" s="261"/>
      <c r="R50" s="260"/>
    </row>
    <row r="51" spans="1:18" s="40" customFormat="1" x14ac:dyDescent="0.25">
      <c r="A51" s="259"/>
      <c r="B51" s="199"/>
      <c r="C51" s="195"/>
      <c r="D51" s="194"/>
      <c r="E51" s="195"/>
      <c r="F51" s="196"/>
      <c r="G51" s="195"/>
      <c r="H51" s="194"/>
      <c r="I51" s="196"/>
      <c r="J51" s="195"/>
      <c r="K51" s="194"/>
      <c r="L51" s="261"/>
      <c r="R51" s="260"/>
    </row>
    <row r="52" spans="1:18" s="40" customFormat="1" x14ac:dyDescent="0.25">
      <c r="A52" s="259"/>
      <c r="B52" s="199"/>
      <c r="C52" s="195"/>
      <c r="D52" s="194"/>
      <c r="E52" s="195"/>
      <c r="F52" s="196"/>
      <c r="G52" s="195"/>
      <c r="H52" s="194"/>
      <c r="I52" s="196"/>
      <c r="J52" s="195"/>
      <c r="K52" s="194"/>
      <c r="L52" s="261"/>
      <c r="R52" s="260"/>
    </row>
    <row r="53" spans="1:18" s="40" customFormat="1" x14ac:dyDescent="0.25">
      <c r="A53" s="259"/>
      <c r="C53" s="195"/>
      <c r="R53" s="262"/>
    </row>
    <row r="54" spans="1:18" s="40" customFormat="1" x14ac:dyDescent="0.25">
      <c r="A54" s="259"/>
      <c r="C54" s="195"/>
      <c r="R54" s="262"/>
    </row>
    <row r="55" spans="1:18" s="40" customFormat="1" x14ac:dyDescent="0.25">
      <c r="A55" s="259"/>
      <c r="C55" s="195"/>
      <c r="R55" s="262"/>
    </row>
    <row r="56" spans="1:18" s="40" customFormat="1" x14ac:dyDescent="0.25">
      <c r="A56" s="259"/>
      <c r="C56" s="195"/>
      <c r="R56" s="262"/>
    </row>
    <row r="57" spans="1:18" s="40" customFormat="1" x14ac:dyDescent="0.25">
      <c r="A57" s="259"/>
      <c r="C57" s="195"/>
      <c r="R57" s="262"/>
    </row>
    <row r="58" spans="1:18" s="40" customFormat="1" x14ac:dyDescent="0.25">
      <c r="A58" s="259"/>
      <c r="C58" s="195"/>
      <c r="R58" s="262"/>
    </row>
    <row r="59" spans="1:18" s="40" customFormat="1" x14ac:dyDescent="0.25">
      <c r="A59" s="259"/>
      <c r="C59" s="195"/>
      <c r="R59" s="262"/>
    </row>
    <row r="60" spans="1:18" s="40" customFormat="1" x14ac:dyDescent="0.25">
      <c r="A60" s="259"/>
      <c r="C60" s="195"/>
      <c r="R60" s="262"/>
    </row>
    <row r="61" spans="1:18" s="40" customFormat="1" x14ac:dyDescent="0.25">
      <c r="A61" s="259"/>
      <c r="C61" s="195"/>
      <c r="R61" s="262"/>
    </row>
    <row r="62" spans="1:18" s="40" customFormat="1" x14ac:dyDescent="0.25">
      <c r="A62" s="259"/>
      <c r="C62" s="195"/>
      <c r="R62" s="262"/>
    </row>
    <row r="63" spans="1:18" s="40" customFormat="1" x14ac:dyDescent="0.25">
      <c r="A63" s="259"/>
      <c r="C63" s="195"/>
      <c r="R63" s="262"/>
    </row>
    <row r="64" spans="1:18" s="40" customFormat="1" x14ac:dyDescent="0.25">
      <c r="A64" s="259"/>
      <c r="C64" s="195"/>
      <c r="R64" s="262"/>
    </row>
    <row r="65" spans="1:18" s="40" customFormat="1" x14ac:dyDescent="0.25">
      <c r="A65" s="259"/>
      <c r="C65" s="195"/>
      <c r="R65" s="262"/>
    </row>
    <row r="66" spans="1:18" s="40" customFormat="1" x14ac:dyDescent="0.25">
      <c r="A66" s="259"/>
      <c r="C66" s="195"/>
      <c r="R66" s="262"/>
    </row>
  </sheetData>
  <sheetProtection algorithmName="SHA-512" hashValue="pkmKeUQXGtSUJ/uriA4+TYNtgxBPuuXefB4IlNCdaILndi/pRknZ6BDsIyKIwYpQ3JSeiF9Gg8uRycD3aPJAZg==" saltValue="tvctro3o+CDc8XpAg+Itug==" spinCount="100000" sheet="1" objects="1" scenarios="1"/>
  <customSheetViews>
    <customSheetView guid="{2584D7FF-B92A-4024-9F14-459567FE9908}">
      <pageMargins left="0.7" right="0.7" top="0.75" bottom="0.75" header="0.3" footer="0.3"/>
    </customSheetView>
    <customSheetView guid="{69F7AF8C-C6A1-4195-BEF0-A5504B308557}">
      <pageMargins left="0.7" right="0.7" top="0.75" bottom="0.75" header="0.3" footer="0.3"/>
    </customSheetView>
  </customSheetViews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zoomScaleNormal="100" workbookViewId="0">
      <pane xSplit="1" topLeftCell="F1" activePane="topRight" state="frozen"/>
      <selection pane="topRight" activeCell="J23" sqref="J23"/>
    </sheetView>
  </sheetViews>
  <sheetFormatPr defaultRowHeight="15" x14ac:dyDescent="0.25"/>
  <cols>
    <col min="1" max="2" width="15.7109375" style="9" customWidth="1"/>
    <col min="3" max="3" width="14.7109375" style="9" customWidth="1"/>
    <col min="4" max="4" width="12.42578125" style="9" customWidth="1"/>
    <col min="5" max="7" width="11.7109375" style="9" customWidth="1"/>
    <col min="8" max="8" width="14.5703125" style="9" customWidth="1"/>
    <col min="9" max="10" width="14.7109375" style="9" customWidth="1"/>
    <col min="11" max="12" width="15.7109375" style="9" customWidth="1"/>
    <col min="13" max="13" width="11.7109375" style="9" customWidth="1"/>
    <col min="14" max="16" width="14.7109375" style="9" customWidth="1"/>
    <col min="17" max="17" width="13.140625" style="9" customWidth="1"/>
    <col min="18" max="18" width="14.42578125" style="9" customWidth="1"/>
    <col min="19" max="19" width="12.140625" style="9" customWidth="1"/>
    <col min="20" max="20" width="14.7109375" style="9" customWidth="1"/>
    <col min="21" max="22" width="11.28515625" style="9" customWidth="1"/>
    <col min="23" max="23" width="12.7109375" style="9" customWidth="1"/>
    <col min="24" max="24" width="12.5703125" style="9" customWidth="1"/>
    <col min="25" max="25" width="11.7109375" style="9" customWidth="1"/>
    <col min="26" max="26" width="9.140625" style="9"/>
    <col min="27" max="27" width="25" style="9" customWidth="1"/>
    <col min="28" max="28" width="22.85546875" style="9" customWidth="1"/>
    <col min="29" max="29" width="20" style="9" customWidth="1"/>
    <col min="30" max="30" width="32.28515625" style="9" customWidth="1"/>
    <col min="31" max="31" width="30.85546875" style="9" customWidth="1"/>
    <col min="32" max="16384" width="9.140625" style="9"/>
  </cols>
  <sheetData>
    <row r="1" spans="1:31" ht="30" customHeight="1" x14ac:dyDescent="0.25">
      <c r="A1" s="132" t="s">
        <v>20</v>
      </c>
      <c r="B1" s="125" t="s">
        <v>4</v>
      </c>
      <c r="C1" s="126" t="s">
        <v>6</v>
      </c>
      <c r="D1" s="148"/>
      <c r="E1" s="128" t="s">
        <v>8</v>
      </c>
      <c r="F1" s="129" t="s">
        <v>10</v>
      </c>
      <c r="G1" s="130" t="s">
        <v>10</v>
      </c>
      <c r="H1" s="131" t="s">
        <v>12</v>
      </c>
      <c r="I1" s="131" t="s">
        <v>12</v>
      </c>
      <c r="J1" s="130"/>
      <c r="K1" s="132" t="s">
        <v>45</v>
      </c>
      <c r="L1" s="131" t="s">
        <v>54</v>
      </c>
      <c r="M1" s="149"/>
      <c r="N1" s="160" t="s">
        <v>10</v>
      </c>
      <c r="O1" s="160"/>
      <c r="P1" s="135" t="s">
        <v>43</v>
      </c>
      <c r="Q1" s="144"/>
      <c r="R1" s="134"/>
      <c r="S1" s="135"/>
      <c r="T1" s="158" t="s">
        <v>44</v>
      </c>
      <c r="U1" s="159"/>
      <c r="V1" s="149"/>
      <c r="W1" s="130" t="s">
        <v>0</v>
      </c>
      <c r="X1" s="130" t="s">
        <v>0</v>
      </c>
      <c r="Y1" s="139" t="s">
        <v>0</v>
      </c>
    </row>
    <row r="2" spans="1:31" ht="30" customHeight="1" x14ac:dyDescent="0.25">
      <c r="A2" s="133" t="s">
        <v>19</v>
      </c>
      <c r="B2" s="136" t="s">
        <v>5</v>
      </c>
      <c r="C2" s="127" t="s">
        <v>7</v>
      </c>
      <c r="D2" s="148" t="s">
        <v>57</v>
      </c>
      <c r="E2" s="128" t="s">
        <v>9</v>
      </c>
      <c r="F2" s="129" t="s">
        <v>11</v>
      </c>
      <c r="G2" s="137" t="s">
        <v>9</v>
      </c>
      <c r="H2" s="138" t="s">
        <v>13</v>
      </c>
      <c r="I2" s="138" t="s">
        <v>11</v>
      </c>
      <c r="J2" s="137" t="s">
        <v>9</v>
      </c>
      <c r="K2" s="133" t="s">
        <v>19</v>
      </c>
      <c r="L2" s="140" t="s">
        <v>55</v>
      </c>
      <c r="M2" s="149" t="s">
        <v>58</v>
      </c>
      <c r="N2" s="160" t="s">
        <v>11</v>
      </c>
      <c r="O2" s="160" t="s">
        <v>9</v>
      </c>
      <c r="P2" s="134" t="s">
        <v>13</v>
      </c>
      <c r="Q2" s="145" t="s">
        <v>56</v>
      </c>
      <c r="R2" s="134" t="s">
        <v>31</v>
      </c>
      <c r="S2" s="134" t="s">
        <v>32</v>
      </c>
      <c r="T2" s="135" t="s">
        <v>14</v>
      </c>
      <c r="U2" s="149" t="s">
        <v>59</v>
      </c>
      <c r="V2" s="149"/>
      <c r="W2" s="137" t="s">
        <v>11</v>
      </c>
      <c r="X2" s="137" t="s">
        <v>9</v>
      </c>
      <c r="Y2" s="141" t="s">
        <v>15</v>
      </c>
      <c r="AA2" s="9" t="s">
        <v>21</v>
      </c>
      <c r="AB2" s="9" t="s">
        <v>22</v>
      </c>
      <c r="AC2" s="40" t="s">
        <v>23</v>
      </c>
      <c r="AD2" s="196" t="s">
        <v>24</v>
      </c>
      <c r="AE2" s="196" t="s">
        <v>42</v>
      </c>
    </row>
    <row r="3" spans="1:31" x14ac:dyDescent="0.25">
      <c r="A3" s="22">
        <v>300837.82</v>
      </c>
      <c r="B3" s="22">
        <v>69108.990000000005</v>
      </c>
      <c r="C3" s="153">
        <v>718.56725021999989</v>
      </c>
      <c r="D3" s="146">
        <f>(C4-C3)/(B4-B3)</f>
        <v>-1.1261717777773309E-2</v>
      </c>
      <c r="E3" s="39">
        <v>-1.6E-2</v>
      </c>
      <c r="F3" s="12">
        <v>14.57</v>
      </c>
      <c r="G3" s="2">
        <v>-1.6E-2</v>
      </c>
      <c r="H3" s="1">
        <f>C3+(F3*G3)</f>
        <v>718.33413021999991</v>
      </c>
      <c r="I3" s="50">
        <v>24</v>
      </c>
      <c r="J3" s="51">
        <v>-1.6E-2</v>
      </c>
      <c r="K3" s="22"/>
      <c r="L3" s="1">
        <f>C3+(F3*G3)+(I3*J3)</f>
        <v>717.95013021999989</v>
      </c>
      <c r="M3" s="146">
        <f>(L4-L3)/(B4-B3)</f>
        <v>-1.1591478701105738E-2</v>
      </c>
      <c r="N3" s="123">
        <v>24</v>
      </c>
      <c r="O3" s="57">
        <v>-1.6E-2</v>
      </c>
      <c r="P3" s="1">
        <f>L3+N3*O3</f>
        <v>717.56613021999988</v>
      </c>
      <c r="Q3" s="146">
        <f>(P4-P3)/(A4-A3)</f>
        <v>-1.1517622056189693E-2</v>
      </c>
      <c r="R3" s="123">
        <v>16</v>
      </c>
      <c r="S3" s="122">
        <v>1.6E-2</v>
      </c>
      <c r="T3" s="1">
        <f>P3+R3*S3</f>
        <v>717.82213021999985</v>
      </c>
      <c r="U3" s="146">
        <f>(T4-T3)/(A4-A3)</f>
        <v>-6.1317435668583904E-3</v>
      </c>
      <c r="V3" s="154">
        <f>T6+(A3-A6)*U5</f>
        <v>717.88056191722217</v>
      </c>
      <c r="W3" s="12">
        <v>10</v>
      </c>
      <c r="X3" s="12">
        <v>-0.04</v>
      </c>
      <c r="Y3" s="6">
        <f>T3+W3*X3</f>
        <v>717.42213021999987</v>
      </c>
      <c r="AA3" s="86">
        <f>ABS(G3-E3)</f>
        <v>0</v>
      </c>
      <c r="AB3" s="86">
        <f>ABS(J3-G3)</f>
        <v>0</v>
      </c>
      <c r="AC3" s="37">
        <f>ABS(O3-J3)</f>
        <v>0</v>
      </c>
      <c r="AD3" s="87">
        <f t="shared" ref="AD3:AD37" si="0">ABS(S3-O3)</f>
        <v>3.2000000000000001E-2</v>
      </c>
      <c r="AE3" s="87">
        <f t="shared" ref="AE3:AE37" si="1">ABS(X3-S3)</f>
        <v>5.6000000000000001E-2</v>
      </c>
    </row>
    <row r="4" spans="1:31" x14ac:dyDescent="0.25">
      <c r="A4" s="22">
        <v>300850</v>
      </c>
      <c r="B4" s="22">
        <v>69121.119999999995</v>
      </c>
      <c r="C4" s="153">
        <v>718.43064558335561</v>
      </c>
      <c r="D4" s="146">
        <f>(C6-C4)/(B6-B4)</f>
        <v>-1.0120373333334489E-2</v>
      </c>
      <c r="E4" s="39">
        <v>-1.6E-2</v>
      </c>
      <c r="F4" s="12">
        <v>14.82</v>
      </c>
      <c r="G4" s="2">
        <v>-1.6E-2</v>
      </c>
      <c r="H4" s="1">
        <f>C4+(F4*G4)</f>
        <v>718.19352558335561</v>
      </c>
      <c r="I4" s="50">
        <v>24</v>
      </c>
      <c r="J4" s="51">
        <v>-1.6E-2</v>
      </c>
      <c r="K4" s="22"/>
      <c r="L4" s="1">
        <f>C4+(F4*G4)+(I4*J4)</f>
        <v>717.80952558335559</v>
      </c>
      <c r="M4" s="146">
        <f>(L6-L4)/(B6-B4)</f>
        <v>-1.0436247628257341E-2</v>
      </c>
      <c r="N4" s="123">
        <v>23.98</v>
      </c>
      <c r="O4" s="123">
        <v>-1.6E-2</v>
      </c>
      <c r="P4" s="1">
        <f t="shared" ref="P4:P37" si="2">L4+N4*O4</f>
        <v>717.42584558335557</v>
      </c>
      <c r="Q4" s="146">
        <f>(P6-P4)/(A6-A4)</f>
        <v>-1.0258706645336133E-2</v>
      </c>
      <c r="R4" s="123">
        <v>16</v>
      </c>
      <c r="S4" s="142">
        <v>2.01E-2</v>
      </c>
      <c r="T4" s="1">
        <f t="shared" ref="T4:T37" si="3">P4+R4*S4</f>
        <v>717.74744558335556</v>
      </c>
      <c r="U4" s="146">
        <f>(T6-T4)/(A6-A4)</f>
        <v>-7.7627066453351294E-3</v>
      </c>
      <c r="V4" s="154">
        <f>T6+(A4-A6)*U5</f>
        <v>717.77337791722221</v>
      </c>
      <c r="W4" s="12">
        <v>10</v>
      </c>
      <c r="X4" s="12">
        <v>-0.04</v>
      </c>
      <c r="Y4" s="6">
        <f t="shared" ref="Y4:Y37" si="4">T4+W4*X4</f>
        <v>717.34744558335558</v>
      </c>
      <c r="AA4" s="86">
        <f t="shared" ref="AA4:AA9" si="5">ABS(G4-E4)</f>
        <v>0</v>
      </c>
      <c r="AB4" s="86">
        <f>ABS(J4-G4)</f>
        <v>0</v>
      </c>
      <c r="AC4" s="37">
        <f>ABS(O4-J4)</f>
        <v>0</v>
      </c>
      <c r="AD4" s="87">
        <f t="shared" si="0"/>
        <v>3.61E-2</v>
      </c>
      <c r="AE4" s="87">
        <f t="shared" si="1"/>
        <v>6.0100000000000001E-2</v>
      </c>
    </row>
    <row r="5" spans="1:31" x14ac:dyDescent="0.25">
      <c r="A5" s="22" t="s">
        <v>3</v>
      </c>
      <c r="B5" s="22"/>
      <c r="C5" s="153"/>
      <c r="D5" s="146"/>
      <c r="E5" s="39"/>
      <c r="F5" s="12"/>
      <c r="G5" s="2"/>
      <c r="H5" s="1"/>
      <c r="I5" s="50"/>
      <c r="J5" s="51"/>
      <c r="K5" s="22"/>
      <c r="L5" s="1"/>
      <c r="M5" s="146"/>
      <c r="N5" s="123"/>
      <c r="O5" s="123"/>
      <c r="P5" s="1"/>
      <c r="Q5" s="146"/>
      <c r="R5" s="123"/>
      <c r="S5" s="143">
        <v>2.4E-2</v>
      </c>
      <c r="T5" s="1"/>
      <c r="U5" s="156">
        <v>-8.8000000000000005E-3</v>
      </c>
      <c r="V5" s="146"/>
      <c r="W5" s="12">
        <v>10</v>
      </c>
      <c r="X5" s="12"/>
      <c r="Y5" s="6"/>
      <c r="AA5" s="86"/>
      <c r="AB5" s="86"/>
      <c r="AC5" s="37"/>
      <c r="AD5" s="87"/>
      <c r="AE5" s="87"/>
    </row>
    <row r="6" spans="1:31" x14ac:dyDescent="0.25">
      <c r="A6" s="155">
        <f>A4+25</f>
        <v>300875</v>
      </c>
      <c r="B6" s="22">
        <v>69145.94</v>
      </c>
      <c r="C6" s="153">
        <v>718.17945791722218</v>
      </c>
      <c r="D6" s="146">
        <f t="shared" ref="D6:D8" si="6">(C7-C6)/(B7-B6)</f>
        <v>-8.582724444443135E-3</v>
      </c>
      <c r="E6" s="39">
        <v>-1.6E-2</v>
      </c>
      <c r="F6" s="12">
        <v>15.31</v>
      </c>
      <c r="G6" s="2">
        <v>-1.6E-2</v>
      </c>
      <c r="H6" s="1">
        <f>C6+(F6*G6)</f>
        <v>717.93449791722219</v>
      </c>
      <c r="I6" s="50">
        <v>24</v>
      </c>
      <c r="J6" s="51">
        <v>-1.6E-2</v>
      </c>
      <c r="K6" s="22"/>
      <c r="L6" s="1">
        <f>C6+(F6*G6)+(I6*J6)</f>
        <v>717.55049791722217</v>
      </c>
      <c r="M6" s="146">
        <f t="shared" ref="M6:M8" si="7">(L7-L6)/(B7-B6)</f>
        <v>-8.9032372649575902E-3</v>
      </c>
      <c r="N6" s="123">
        <v>23.82</v>
      </c>
      <c r="O6" s="123">
        <v>-1.6E-2</v>
      </c>
      <c r="P6" s="1">
        <f t="shared" si="2"/>
        <v>717.16937791722216</v>
      </c>
      <c r="Q6" s="146">
        <f t="shared" ref="Q6:Q14" si="8">(P7-P6)/(A7-A6)</f>
        <v>-8.684192085329414E-3</v>
      </c>
      <c r="R6" s="123">
        <v>16</v>
      </c>
      <c r="S6" s="123">
        <v>2.4E-2</v>
      </c>
      <c r="T6" s="154">
        <f>P6+R6*S6</f>
        <v>717.55337791722218</v>
      </c>
      <c r="U6" s="146">
        <f t="shared" ref="U6:U14" si="9">(T7-T6)/(A7-A6)</f>
        <v>-8.684192085329414E-3</v>
      </c>
      <c r="V6" s="146"/>
      <c r="W6" s="12">
        <v>10</v>
      </c>
      <c r="X6" s="12">
        <v>-0.04</v>
      </c>
      <c r="Y6" s="6">
        <f t="shared" si="4"/>
        <v>717.1533779172222</v>
      </c>
      <c r="AA6" s="86">
        <f t="shared" si="5"/>
        <v>0</v>
      </c>
      <c r="AB6" s="86">
        <f>ABS(J6-G6)</f>
        <v>0</v>
      </c>
      <c r="AC6" s="37">
        <f>ABS(O6-J6)</f>
        <v>0</v>
      </c>
      <c r="AD6" s="87">
        <f t="shared" si="0"/>
        <v>0.04</v>
      </c>
      <c r="AE6" s="87">
        <f t="shared" si="1"/>
        <v>6.4000000000000001E-2</v>
      </c>
    </row>
    <row r="7" spans="1:31" x14ac:dyDescent="0.25">
      <c r="A7" s="22">
        <f t="shared" ref="A7:A36" si="10">A6+25</f>
        <v>300900</v>
      </c>
      <c r="B7" s="22">
        <v>69170.899999999994</v>
      </c>
      <c r="C7" s="153">
        <v>717.96523311508895</v>
      </c>
      <c r="D7" s="146">
        <f t="shared" si="6"/>
        <v>-7.0429133333347899E-3</v>
      </c>
      <c r="E7" s="39">
        <v>-1.6E-2</v>
      </c>
      <c r="F7" s="12">
        <v>15.81</v>
      </c>
      <c r="G7" s="2">
        <v>-1.6E-2</v>
      </c>
      <c r="H7" s="1">
        <f>C7+(F7*G7)</f>
        <v>717.71227311508892</v>
      </c>
      <c r="I7" s="50">
        <v>24</v>
      </c>
      <c r="J7" s="51">
        <v>-1.6E-2</v>
      </c>
      <c r="K7" s="22"/>
      <c r="L7" s="1">
        <f>C7+(F7*G7)+(I7*J7)</f>
        <v>717.3282731150889</v>
      </c>
      <c r="M7" s="146">
        <f t="shared" si="7"/>
        <v>-7.3643275559111144E-3</v>
      </c>
      <c r="N7" s="123">
        <v>23.5</v>
      </c>
      <c r="O7" s="123">
        <v>-1.6E-2</v>
      </c>
      <c r="P7" s="1">
        <f t="shared" si="2"/>
        <v>716.95227311508893</v>
      </c>
      <c r="Q7" s="146">
        <f t="shared" si="8"/>
        <v>-7.0183245146654373E-3</v>
      </c>
      <c r="R7" s="123">
        <v>16</v>
      </c>
      <c r="S7" s="123">
        <v>2.4E-2</v>
      </c>
      <c r="T7" s="1">
        <f t="shared" si="3"/>
        <v>717.33627311508894</v>
      </c>
      <c r="U7" s="146">
        <f t="shared" si="9"/>
        <v>-7.0183245146654373E-3</v>
      </c>
      <c r="V7" s="146"/>
      <c r="W7" s="12">
        <v>10</v>
      </c>
      <c r="X7" s="12">
        <v>-0.04</v>
      </c>
      <c r="Y7" s="6">
        <f t="shared" si="4"/>
        <v>716.93627311508897</v>
      </c>
      <c r="AA7" s="86">
        <f t="shared" si="5"/>
        <v>0</v>
      </c>
      <c r="AB7" s="86">
        <f>ABS(J7-G7)</f>
        <v>0</v>
      </c>
      <c r="AC7" s="37">
        <f>ABS(O7-J7)</f>
        <v>0</v>
      </c>
      <c r="AD7" s="87">
        <f t="shared" si="0"/>
        <v>0.04</v>
      </c>
      <c r="AE7" s="87">
        <f t="shared" si="1"/>
        <v>6.4000000000000001E-2</v>
      </c>
    </row>
    <row r="8" spans="1:31" x14ac:dyDescent="0.25">
      <c r="A8" s="22">
        <f t="shared" si="10"/>
        <v>300925</v>
      </c>
      <c r="B8" s="22">
        <v>69195.789999999994</v>
      </c>
      <c r="C8" s="153">
        <v>717.78993500222225</v>
      </c>
      <c r="D8" s="146">
        <f t="shared" si="6"/>
        <v>-5.505573333332194E-3</v>
      </c>
      <c r="E8" s="39">
        <v>-1.6E-2</v>
      </c>
      <c r="F8" s="12">
        <v>16.309999999999999</v>
      </c>
      <c r="G8" s="2">
        <v>-1.6E-2</v>
      </c>
      <c r="H8" s="1">
        <f>C8+(F8*G8)</f>
        <v>717.5289750022223</v>
      </c>
      <c r="I8" s="50">
        <v>24</v>
      </c>
      <c r="J8" s="51">
        <v>-1.6E-2</v>
      </c>
      <c r="K8" s="22"/>
      <c r="L8" s="1">
        <f>C8+(F8*G8)+(I8*J8)</f>
        <v>717.14497500222228</v>
      </c>
      <c r="M8" s="146">
        <f t="shared" si="7"/>
        <v>-5.8271167416937978E-3</v>
      </c>
      <c r="N8" s="123">
        <v>23.01</v>
      </c>
      <c r="O8" s="123">
        <v>-1.6E-2</v>
      </c>
      <c r="P8" s="1">
        <f t="shared" si="2"/>
        <v>716.77681500222229</v>
      </c>
      <c r="Q8" s="146">
        <f t="shared" si="8"/>
        <v>-5.3831465813345856E-3</v>
      </c>
      <c r="R8" s="123">
        <v>16</v>
      </c>
      <c r="S8" s="123">
        <v>2.4E-2</v>
      </c>
      <c r="T8" s="1">
        <f t="shared" si="3"/>
        <v>717.16081500222231</v>
      </c>
      <c r="U8" s="146">
        <f t="shared" si="9"/>
        <v>-5.3831465813345856E-3</v>
      </c>
      <c r="V8" s="146"/>
      <c r="W8" s="12">
        <v>10</v>
      </c>
      <c r="X8" s="12">
        <v>-0.04</v>
      </c>
      <c r="Y8" s="6">
        <f t="shared" si="4"/>
        <v>716.76081500222233</v>
      </c>
      <c r="AA8" s="86">
        <f t="shared" si="5"/>
        <v>0</v>
      </c>
      <c r="AB8" s="86">
        <f>ABS(J8-G8)</f>
        <v>0</v>
      </c>
      <c r="AC8" s="37">
        <f>ABS(O8-J8)</f>
        <v>0</v>
      </c>
      <c r="AD8" s="87">
        <f t="shared" si="0"/>
        <v>0.04</v>
      </c>
      <c r="AE8" s="87">
        <f t="shared" si="1"/>
        <v>6.4000000000000001E-2</v>
      </c>
    </row>
    <row r="9" spans="1:31" ht="15.75" thickBot="1" x14ac:dyDescent="0.3">
      <c r="A9" s="22">
        <f t="shared" si="10"/>
        <v>300950</v>
      </c>
      <c r="B9" s="22">
        <v>69220.67</v>
      </c>
      <c r="C9" s="153">
        <v>717.65295633768892</v>
      </c>
      <c r="D9" s="146"/>
      <c r="E9" s="39">
        <v>-1.6E-2</v>
      </c>
      <c r="F9" s="12">
        <v>16.809999999999999</v>
      </c>
      <c r="G9" s="2">
        <v>-1.6E-2</v>
      </c>
      <c r="H9" s="1">
        <f>C9+(F9*G9)</f>
        <v>717.38399633768893</v>
      </c>
      <c r="I9" s="50">
        <v>24</v>
      </c>
      <c r="J9" s="51">
        <v>-1.6E-2</v>
      </c>
      <c r="K9" s="116"/>
      <c r="L9" s="63">
        <f>C9+(F9*G9)+(I9*J9)</f>
        <v>716.99999633768891</v>
      </c>
      <c r="M9" s="150"/>
      <c r="N9" s="124">
        <v>22.36</v>
      </c>
      <c r="O9" s="124">
        <v>-1.6E-2</v>
      </c>
      <c r="P9" s="63">
        <f t="shared" si="2"/>
        <v>716.64223633768893</v>
      </c>
      <c r="Q9" s="146">
        <f t="shared" si="8"/>
        <v>-4.0152135075550181E-3</v>
      </c>
      <c r="R9" s="124">
        <v>16</v>
      </c>
      <c r="S9" s="124">
        <v>2.4E-2</v>
      </c>
      <c r="T9" s="63">
        <f t="shared" si="3"/>
        <v>717.02623633768894</v>
      </c>
      <c r="U9" s="150">
        <f t="shared" si="9"/>
        <v>-4.0152135075550181E-3</v>
      </c>
      <c r="V9" s="150"/>
      <c r="W9" s="3">
        <v>10</v>
      </c>
      <c r="X9" s="3">
        <v>-0.04</v>
      </c>
      <c r="Y9" s="64">
        <f t="shared" si="4"/>
        <v>716.62623633768897</v>
      </c>
      <c r="AA9" s="86">
        <f t="shared" si="5"/>
        <v>0</v>
      </c>
      <c r="AB9" s="86">
        <f>ABS(J9-G9)</f>
        <v>0</v>
      </c>
      <c r="AC9" s="37">
        <f>ABS(O9-J9)</f>
        <v>0</v>
      </c>
      <c r="AD9" s="87">
        <f t="shared" si="0"/>
        <v>0.04</v>
      </c>
      <c r="AE9" s="87">
        <f t="shared" si="1"/>
        <v>6.4000000000000001E-2</v>
      </c>
    </row>
    <row r="10" spans="1:31" x14ac:dyDescent="0.25">
      <c r="A10" s="22">
        <f t="shared" si="10"/>
        <v>300975</v>
      </c>
      <c r="B10" s="22"/>
      <c r="C10" s="1"/>
      <c r="D10" s="1"/>
      <c r="E10" s="1"/>
      <c r="F10" s="12"/>
      <c r="G10" s="2"/>
      <c r="H10" s="1"/>
      <c r="I10" s="12"/>
      <c r="J10" s="2"/>
      <c r="K10" s="117">
        <v>20660.419999999998</v>
      </c>
      <c r="L10" s="152">
        <v>716.88665600000002</v>
      </c>
      <c r="M10" s="151">
        <f>(L11-L10)/(K11-K10)</f>
        <v>-2.5379975874555536E-3</v>
      </c>
      <c r="N10" s="119">
        <v>21.55</v>
      </c>
      <c r="O10" s="119">
        <v>-1.6E-2</v>
      </c>
      <c r="P10" s="118">
        <f t="shared" si="2"/>
        <v>716.54185600000005</v>
      </c>
      <c r="Q10" s="146">
        <f t="shared" si="8"/>
        <v>-1.8976000000020575E-3</v>
      </c>
      <c r="R10" s="119">
        <v>16</v>
      </c>
      <c r="S10" s="119">
        <v>2.4E-2</v>
      </c>
      <c r="T10" s="118">
        <f t="shared" si="3"/>
        <v>716.92585600000007</v>
      </c>
      <c r="U10" s="151">
        <f t="shared" si="9"/>
        <v>-1.8976000000020575E-3</v>
      </c>
      <c r="V10" s="151"/>
      <c r="W10" s="14">
        <v>10</v>
      </c>
      <c r="X10" s="14">
        <v>-0.04</v>
      </c>
      <c r="Y10" s="4">
        <f t="shared" si="4"/>
        <v>716.52585600000009</v>
      </c>
      <c r="AA10" s="37"/>
      <c r="AB10" s="37"/>
      <c r="AD10" s="87">
        <f t="shared" si="0"/>
        <v>0.04</v>
      </c>
      <c r="AE10" s="87">
        <f t="shared" si="1"/>
        <v>6.4000000000000001E-2</v>
      </c>
    </row>
    <row r="11" spans="1:31" x14ac:dyDescent="0.25">
      <c r="A11" s="22">
        <f t="shared" si="10"/>
        <v>301000</v>
      </c>
      <c r="B11" s="22"/>
      <c r="C11" s="1"/>
      <c r="D11" s="1"/>
      <c r="E11" s="1"/>
      <c r="F11" s="12"/>
      <c r="G11" s="2"/>
      <c r="H11" s="1"/>
      <c r="I11" s="12"/>
      <c r="J11" s="2"/>
      <c r="K11" s="22">
        <v>20685.29</v>
      </c>
      <c r="L11" s="54">
        <v>716.82353599999999</v>
      </c>
      <c r="M11" s="146">
        <f t="shared" ref="M11:M36" si="11">(L12-L11)/(K12-K11)</f>
        <v>0</v>
      </c>
      <c r="N11" s="50">
        <v>20.57</v>
      </c>
      <c r="O11" s="50">
        <v>-1.6E-2</v>
      </c>
      <c r="P11" s="1">
        <f t="shared" si="2"/>
        <v>716.494416</v>
      </c>
      <c r="Q11" s="146">
        <f t="shared" si="8"/>
        <v>7.2959999999966385E-4</v>
      </c>
      <c r="R11" s="50">
        <v>16</v>
      </c>
      <c r="S11" s="50">
        <v>2.4E-2</v>
      </c>
      <c r="T11" s="1">
        <f t="shared" si="3"/>
        <v>716.87841600000002</v>
      </c>
      <c r="U11" s="146">
        <f t="shared" si="9"/>
        <v>7.2959999999966385E-4</v>
      </c>
      <c r="V11" s="146"/>
      <c r="W11" s="12">
        <v>10</v>
      </c>
      <c r="X11" s="12">
        <v>-0.04</v>
      </c>
      <c r="Y11" s="6">
        <f t="shared" si="4"/>
        <v>716.47841600000004</v>
      </c>
      <c r="AA11" s="37"/>
      <c r="AB11" s="37"/>
      <c r="AD11" s="87">
        <f t="shared" si="0"/>
        <v>0.04</v>
      </c>
      <c r="AE11" s="87">
        <f t="shared" si="1"/>
        <v>6.4000000000000001E-2</v>
      </c>
    </row>
    <row r="12" spans="1:31" x14ac:dyDescent="0.25">
      <c r="A12" s="22">
        <f t="shared" si="10"/>
        <v>301025</v>
      </c>
      <c r="B12" s="22"/>
      <c r="C12" s="1"/>
      <c r="D12" s="1"/>
      <c r="E12" s="1"/>
      <c r="F12" s="12"/>
      <c r="G12" s="2"/>
      <c r="H12" s="1"/>
      <c r="I12" s="12"/>
      <c r="J12" s="2"/>
      <c r="K12" s="114">
        <v>20710.150000000001</v>
      </c>
      <c r="L12" s="54">
        <v>716.82353599999999</v>
      </c>
      <c r="M12" s="146">
        <f t="shared" si="11"/>
        <v>-1.0283413848618311E-3</v>
      </c>
      <c r="N12" s="50">
        <v>19.43</v>
      </c>
      <c r="O12" s="50">
        <v>-1.6E-2</v>
      </c>
      <c r="P12" s="115">
        <f t="shared" si="2"/>
        <v>716.51265599999999</v>
      </c>
      <c r="Q12" s="146">
        <f t="shared" si="8"/>
        <v>-2.0255999999790219E-4</v>
      </c>
      <c r="R12" s="50">
        <v>16</v>
      </c>
      <c r="S12" s="50">
        <v>2.4E-2</v>
      </c>
      <c r="T12" s="115">
        <f t="shared" si="3"/>
        <v>716.89665600000001</v>
      </c>
      <c r="U12" s="146">
        <f t="shared" si="9"/>
        <v>-2.0255999999790219E-4</v>
      </c>
      <c r="V12" s="146"/>
      <c r="W12" s="12">
        <v>10</v>
      </c>
      <c r="X12" s="12">
        <v>-0.04</v>
      </c>
      <c r="Y12" s="6">
        <f t="shared" si="4"/>
        <v>716.49665600000003</v>
      </c>
      <c r="AA12" s="37"/>
      <c r="AB12" s="37"/>
      <c r="AD12" s="87">
        <f t="shared" si="0"/>
        <v>0.04</v>
      </c>
      <c r="AE12" s="87">
        <f t="shared" si="1"/>
        <v>6.4000000000000001E-2</v>
      </c>
    </row>
    <row r="13" spans="1:31" x14ac:dyDescent="0.25">
      <c r="A13" s="22">
        <f t="shared" si="10"/>
        <v>301050</v>
      </c>
      <c r="B13" s="22"/>
      <c r="C13" s="1"/>
      <c r="D13" s="1"/>
      <c r="E13" s="1"/>
      <c r="F13" s="12"/>
      <c r="G13" s="2"/>
      <c r="H13" s="1"/>
      <c r="I13" s="12"/>
      <c r="J13" s="2"/>
      <c r="K13" s="114">
        <v>20734.990000000002</v>
      </c>
      <c r="L13" s="54">
        <v>716.79799200000002</v>
      </c>
      <c r="M13" s="146">
        <f t="shared" si="11"/>
        <v>1.7485898468984752E-3</v>
      </c>
      <c r="N13" s="50">
        <v>18.149999999999999</v>
      </c>
      <c r="O13" s="50">
        <v>-1.6E-2</v>
      </c>
      <c r="P13" s="115">
        <f t="shared" si="2"/>
        <v>716.50759200000005</v>
      </c>
      <c r="Q13" s="146">
        <f t="shared" si="8"/>
        <v>2.6319999999986974E-3</v>
      </c>
      <c r="R13" s="50">
        <v>16</v>
      </c>
      <c r="S13" s="50">
        <v>2.4E-2</v>
      </c>
      <c r="T13" s="115">
        <f t="shared" si="3"/>
        <v>716.89159200000006</v>
      </c>
      <c r="U13" s="146">
        <f t="shared" si="9"/>
        <v>2.6319999999986974E-3</v>
      </c>
      <c r="V13" s="146"/>
      <c r="W13" s="12">
        <v>10</v>
      </c>
      <c r="X13" s="12">
        <v>-0.04</v>
      </c>
      <c r="Y13" s="6">
        <f t="shared" si="4"/>
        <v>716.49159200000008</v>
      </c>
      <c r="AA13" s="37"/>
      <c r="AB13" s="37"/>
      <c r="AD13" s="87">
        <f t="shared" si="0"/>
        <v>0.04</v>
      </c>
      <c r="AE13" s="87">
        <f t="shared" si="1"/>
        <v>6.4000000000000001E-2</v>
      </c>
    </row>
    <row r="14" spans="1:31" x14ac:dyDescent="0.25">
      <c r="A14" s="22">
        <f t="shared" si="10"/>
        <v>301075</v>
      </c>
      <c r="B14" s="22"/>
      <c r="C14" s="1"/>
      <c r="D14" s="1"/>
      <c r="E14" s="1"/>
      <c r="F14" s="12"/>
      <c r="G14" s="2"/>
      <c r="H14" s="1"/>
      <c r="I14" s="12"/>
      <c r="J14" s="2"/>
      <c r="K14" s="114">
        <v>20759.810000000001</v>
      </c>
      <c r="L14" s="54">
        <v>716.84139200000004</v>
      </c>
      <c r="M14" s="146">
        <f t="shared" si="11"/>
        <v>3.4182990729528682E-3</v>
      </c>
      <c r="N14" s="50">
        <v>16.75</v>
      </c>
      <c r="O14" s="50">
        <v>-1.6E-2</v>
      </c>
      <c r="P14" s="115">
        <f t="shared" si="2"/>
        <v>716.57339200000001</v>
      </c>
      <c r="Q14" s="146">
        <f t="shared" si="8"/>
        <v>4.3523199999981445E-3</v>
      </c>
      <c r="R14" s="50">
        <v>16</v>
      </c>
      <c r="S14" s="50">
        <v>2.4E-2</v>
      </c>
      <c r="T14" s="115">
        <f t="shared" si="3"/>
        <v>716.95739200000003</v>
      </c>
      <c r="U14" s="146">
        <f t="shared" si="9"/>
        <v>4.3523199999981445E-3</v>
      </c>
      <c r="V14" s="146"/>
      <c r="W14" s="12">
        <v>10</v>
      </c>
      <c r="X14" s="12">
        <v>-0.04</v>
      </c>
      <c r="Y14" s="6">
        <f t="shared" si="4"/>
        <v>716.55739200000005</v>
      </c>
      <c r="AA14" s="37"/>
      <c r="AB14" s="37"/>
      <c r="AD14" s="87">
        <f t="shared" si="0"/>
        <v>0.04</v>
      </c>
      <c r="AE14" s="87">
        <f t="shared" si="1"/>
        <v>6.4000000000000001E-2</v>
      </c>
    </row>
    <row r="15" spans="1:31" x14ac:dyDescent="0.25">
      <c r="A15" s="22">
        <f t="shared" si="10"/>
        <v>301100</v>
      </c>
      <c r="B15" s="22"/>
      <c r="C15" s="1"/>
      <c r="D15" s="1"/>
      <c r="E15" s="1"/>
      <c r="F15" s="12"/>
      <c r="G15" s="2"/>
      <c r="H15" s="1"/>
      <c r="I15" s="12"/>
      <c r="J15" s="2"/>
      <c r="K15" s="114">
        <v>20784.62</v>
      </c>
      <c r="L15" s="54">
        <v>716.92619999999999</v>
      </c>
      <c r="M15" s="146">
        <f>(L17-L15)/(K17-K15)</f>
        <v>5.1033037872686019E-3</v>
      </c>
      <c r="N15" s="50">
        <v>15.25</v>
      </c>
      <c r="O15" s="50">
        <v>-1.6E-2</v>
      </c>
      <c r="P15" s="115">
        <f t="shared" si="2"/>
        <v>716.68219999999997</v>
      </c>
      <c r="Q15" s="146">
        <f>(P17-P15)/(A17-A15)</f>
        <v>6.0969599999998536E-3</v>
      </c>
      <c r="R15" s="50">
        <v>16</v>
      </c>
      <c r="S15" s="50">
        <v>2.4E-2</v>
      </c>
      <c r="T15" s="115">
        <f t="shared" si="3"/>
        <v>717.06619999999998</v>
      </c>
      <c r="U15" s="146">
        <f>(T17-T15)/(A17-A15)</f>
        <v>4.6838746238336169E-3</v>
      </c>
      <c r="V15" s="146"/>
      <c r="W15" s="12">
        <v>10</v>
      </c>
      <c r="X15" s="12">
        <v>-0.04</v>
      </c>
      <c r="Y15" s="6">
        <f t="shared" si="4"/>
        <v>716.6662</v>
      </c>
      <c r="AA15" s="37"/>
      <c r="AB15" s="37"/>
      <c r="AD15" s="87">
        <f t="shared" si="0"/>
        <v>0.04</v>
      </c>
      <c r="AE15" s="87">
        <f t="shared" si="1"/>
        <v>6.4000000000000001E-2</v>
      </c>
    </row>
    <row r="16" spans="1:31" x14ac:dyDescent="0.25">
      <c r="A16" s="22">
        <v>301118.46999999997</v>
      </c>
      <c r="B16" s="22"/>
      <c r="C16" s="1"/>
      <c r="D16" s="1"/>
      <c r="E16" s="1"/>
      <c r="F16" s="12"/>
      <c r="G16" s="2"/>
      <c r="H16" s="1"/>
      <c r="I16" s="12"/>
      <c r="J16" s="2"/>
      <c r="K16" s="114"/>
      <c r="L16" s="54"/>
      <c r="M16" s="146"/>
      <c r="N16" s="50"/>
      <c r="O16" s="50"/>
      <c r="P16" s="115"/>
      <c r="Q16" s="146"/>
      <c r="R16" s="50"/>
      <c r="S16" s="120">
        <v>2.4E-2</v>
      </c>
      <c r="T16" s="115"/>
      <c r="U16" s="146"/>
      <c r="V16" s="146"/>
      <c r="W16" s="12">
        <v>10</v>
      </c>
      <c r="X16" s="12"/>
      <c r="Y16" s="6"/>
      <c r="AA16" s="37"/>
      <c r="AB16" s="37"/>
      <c r="AD16" s="87"/>
      <c r="AE16" s="87"/>
    </row>
    <row r="17" spans="1:31" x14ac:dyDescent="0.25">
      <c r="A17" s="22">
        <f>A15+25</f>
        <v>301125</v>
      </c>
      <c r="B17" s="22"/>
      <c r="C17" s="1"/>
      <c r="D17" s="1"/>
      <c r="E17" s="1"/>
      <c r="F17" s="12"/>
      <c r="G17" s="2"/>
      <c r="H17" s="1"/>
      <c r="I17" s="12"/>
      <c r="J17" s="2"/>
      <c r="K17" s="114">
        <v>20809.439999999999</v>
      </c>
      <c r="L17" s="54">
        <v>717.052864</v>
      </c>
      <c r="M17" s="146">
        <f>(L19-L17)/(K19-K17)</f>
        <v>5.599999999998953E-3</v>
      </c>
      <c r="N17" s="50">
        <v>13.64</v>
      </c>
      <c r="O17" s="50">
        <v>-1.6E-2</v>
      </c>
      <c r="P17" s="115">
        <f t="shared" si="2"/>
        <v>716.83462399999996</v>
      </c>
      <c r="Q17" s="146">
        <f>(P19-P17)/(A19-A17)</f>
        <v>6.6649599999982455E-3</v>
      </c>
      <c r="R17" s="50">
        <v>16</v>
      </c>
      <c r="S17" s="121">
        <f>(($S$18-$S$16)/($A$18-$A$16))*(A17-$A$16)+$S$16</f>
        <v>2.1792054099740003E-2</v>
      </c>
      <c r="T17" s="115">
        <f t="shared" si="3"/>
        <v>717.18329686559582</v>
      </c>
      <c r="U17" s="146">
        <f>(T19-T17)/(A19-A17)</f>
        <v>1.8934641344230841E-3</v>
      </c>
      <c r="V17" s="146"/>
      <c r="W17" s="12">
        <v>10</v>
      </c>
      <c r="X17" s="12">
        <v>-0.04</v>
      </c>
      <c r="Y17" s="6">
        <f t="shared" si="4"/>
        <v>716.78329686559584</v>
      </c>
      <c r="AA17" s="37"/>
      <c r="AB17" s="37"/>
      <c r="AD17" s="87">
        <f t="shared" si="0"/>
        <v>3.779205409974E-2</v>
      </c>
      <c r="AE17" s="87">
        <f t="shared" si="1"/>
        <v>6.1792054099740007E-2</v>
      </c>
    </row>
    <row r="18" spans="1:31" x14ac:dyDescent="0.25">
      <c r="A18" s="22">
        <v>301142.13</v>
      </c>
      <c r="B18" s="22"/>
      <c r="C18" s="1"/>
      <c r="D18" s="1"/>
      <c r="E18" s="1"/>
      <c r="F18" s="12"/>
      <c r="G18" s="2"/>
      <c r="H18" s="1"/>
      <c r="I18" s="12"/>
      <c r="J18" s="2"/>
      <c r="K18" s="114"/>
      <c r="L18" s="54"/>
      <c r="M18" s="146"/>
      <c r="N18" s="50"/>
      <c r="O18" s="50"/>
      <c r="P18" s="115"/>
      <c r="Q18" s="146"/>
      <c r="R18" s="50"/>
      <c r="S18" s="120">
        <v>1.6E-2</v>
      </c>
      <c r="T18" s="115"/>
      <c r="U18" s="146"/>
      <c r="V18" s="146"/>
      <c r="W18" s="12">
        <v>10</v>
      </c>
      <c r="X18" s="12"/>
      <c r="Y18" s="6">
        <f t="shared" si="4"/>
        <v>0</v>
      </c>
      <c r="AA18" s="37"/>
      <c r="AB18" s="37"/>
      <c r="AD18" s="87"/>
      <c r="AE18" s="87"/>
    </row>
    <row r="19" spans="1:31" x14ac:dyDescent="0.25">
      <c r="A19" s="22">
        <f>A17+25</f>
        <v>301150</v>
      </c>
      <c r="B19" s="22"/>
      <c r="C19" s="1"/>
      <c r="D19" s="1"/>
      <c r="E19" s="1"/>
      <c r="F19" s="12"/>
      <c r="G19" s="2"/>
      <c r="H19" s="1"/>
      <c r="I19" s="12"/>
      <c r="J19" s="2"/>
      <c r="K19" s="114">
        <v>20834.28</v>
      </c>
      <c r="L19" s="54">
        <v>717.19196799999997</v>
      </c>
      <c r="M19" s="146">
        <f t="shared" si="11"/>
        <v>5.7476725521669715E-3</v>
      </c>
      <c r="N19" s="50">
        <v>11.92</v>
      </c>
      <c r="O19" s="50">
        <v>-1.6E-2</v>
      </c>
      <c r="P19" s="115">
        <f t="shared" si="2"/>
        <v>717.00124799999992</v>
      </c>
      <c r="Q19" s="146">
        <f>(P20-P19)/(A20-A19)</f>
        <v>6.8172800000047577E-3</v>
      </c>
      <c r="R19" s="50">
        <v>16</v>
      </c>
      <c r="S19" s="121">
        <f>(($S$22-$S$18)/($A$22-$A$18))*(A19-$A$18)+$S$18</f>
        <v>1.433659180977667E-2</v>
      </c>
      <c r="T19" s="115">
        <f t="shared" si="3"/>
        <v>717.2306334689564</v>
      </c>
      <c r="U19" s="146">
        <f>(T20-T19)/(A20-A19)</f>
        <v>3.4355098546939187E-3</v>
      </c>
      <c r="V19" s="146"/>
      <c r="W19" s="12">
        <v>10</v>
      </c>
      <c r="X19" s="12">
        <v>-0.04</v>
      </c>
      <c r="Y19" s="6">
        <f t="shared" si="4"/>
        <v>716.83063346895642</v>
      </c>
      <c r="AA19" s="37"/>
      <c r="AB19" s="37"/>
      <c r="AD19" s="87">
        <f t="shared" si="0"/>
        <v>3.0336591809776672E-2</v>
      </c>
      <c r="AE19" s="87">
        <f t="shared" si="1"/>
        <v>5.4336591809776673E-2</v>
      </c>
    </row>
    <row r="20" spans="1:31" x14ac:dyDescent="0.25">
      <c r="A20" s="22">
        <f t="shared" si="10"/>
        <v>301175</v>
      </c>
      <c r="B20" s="22"/>
      <c r="C20" s="1"/>
      <c r="D20" s="1"/>
      <c r="E20" s="1"/>
      <c r="F20" s="12"/>
      <c r="G20" s="2"/>
      <c r="H20" s="1"/>
      <c r="I20" s="12"/>
      <c r="J20" s="2"/>
      <c r="K20" s="114">
        <v>20859.2</v>
      </c>
      <c r="L20" s="54">
        <v>717.33519999999999</v>
      </c>
      <c r="M20" s="146">
        <f t="shared" si="11"/>
        <v>6.54101123595575E-3</v>
      </c>
      <c r="N20" s="50">
        <v>10.220000000000001</v>
      </c>
      <c r="O20" s="50">
        <v>-1.6E-2</v>
      </c>
      <c r="P20" s="115">
        <f t="shared" si="2"/>
        <v>717.17168000000004</v>
      </c>
      <c r="Q20" s="146">
        <f>(P21-P20)/(A21-A20)</f>
        <v>7.5760799999989104E-3</v>
      </c>
      <c r="R20" s="50">
        <v>16</v>
      </c>
      <c r="S20" s="121">
        <f>(($S$22-$S$18)/($A$22-$A$18))*(A20-$A$18)+$S$18</f>
        <v>9.0525759577299268E-3</v>
      </c>
      <c r="T20" s="115">
        <f t="shared" si="3"/>
        <v>717.31652121532375</v>
      </c>
      <c r="U20" s="146">
        <f>(T21-T20)/(A21-A20)</f>
        <v>4.1943098546880723E-3</v>
      </c>
      <c r="V20" s="146"/>
      <c r="W20" s="12">
        <v>10</v>
      </c>
      <c r="X20" s="12">
        <v>-0.04</v>
      </c>
      <c r="Y20" s="6">
        <f t="shared" si="4"/>
        <v>716.91652121532377</v>
      </c>
      <c r="AA20" s="37"/>
      <c r="AB20" s="37"/>
      <c r="AD20" s="87">
        <f t="shared" si="0"/>
        <v>2.5052575957729927E-2</v>
      </c>
      <c r="AE20" s="87">
        <f t="shared" si="1"/>
        <v>4.9052575957729924E-2</v>
      </c>
    </row>
    <row r="21" spans="1:31" x14ac:dyDescent="0.25">
      <c r="A21" s="22">
        <f t="shared" si="10"/>
        <v>301200</v>
      </c>
      <c r="B21" s="22"/>
      <c r="C21" s="1"/>
      <c r="D21" s="1"/>
      <c r="E21" s="1"/>
      <c r="F21" s="12"/>
      <c r="G21" s="2"/>
      <c r="H21" s="1"/>
      <c r="I21" s="12"/>
      <c r="J21" s="2"/>
      <c r="K21" s="114">
        <v>20884.12</v>
      </c>
      <c r="L21" s="54">
        <v>717.49820199999999</v>
      </c>
      <c r="M21" s="146">
        <f>(L23-L21)/(K23-K21)</f>
        <v>6.3951062976350254E-3</v>
      </c>
      <c r="N21" s="50">
        <v>8.57</v>
      </c>
      <c r="O21" s="50">
        <v>-1.6E-2</v>
      </c>
      <c r="P21" s="115">
        <f t="shared" si="2"/>
        <v>717.36108200000001</v>
      </c>
      <c r="Q21" s="146">
        <f>(P23-P21)/(A23-A21)</f>
        <v>7.4011999999993349E-3</v>
      </c>
      <c r="R21" s="50">
        <v>16</v>
      </c>
      <c r="S21" s="121">
        <f>(($S$22-$S$18)/($A$22-$A$18))*(A21-$A$18)+$S$18</f>
        <v>3.7685601056831816E-3</v>
      </c>
      <c r="T21" s="115">
        <f t="shared" si="3"/>
        <v>717.42137896169095</v>
      </c>
      <c r="U21" s="146">
        <f>(T23-T21)/(A23-A21)</f>
        <v>3.895447873246667E-3</v>
      </c>
      <c r="V21" s="146"/>
      <c r="W21" s="12">
        <v>10</v>
      </c>
      <c r="X21" s="12">
        <v>-0.04</v>
      </c>
      <c r="Y21" s="6">
        <f t="shared" si="4"/>
        <v>717.02137896169097</v>
      </c>
      <c r="AA21" s="37"/>
      <c r="AB21" s="37"/>
      <c r="AD21" s="87">
        <f t="shared" si="0"/>
        <v>1.9768560105683182E-2</v>
      </c>
      <c r="AE21" s="87">
        <f t="shared" si="1"/>
        <v>4.3768560105683182E-2</v>
      </c>
    </row>
    <row r="22" spans="1:31" x14ac:dyDescent="0.25">
      <c r="A22" s="22">
        <v>301217.83</v>
      </c>
      <c r="B22" s="22"/>
      <c r="C22" s="1"/>
      <c r="D22" s="1"/>
      <c r="E22" s="1"/>
      <c r="F22" s="12"/>
      <c r="G22" s="2"/>
      <c r="H22" s="1"/>
      <c r="I22" s="12"/>
      <c r="J22" s="2"/>
      <c r="K22" s="114"/>
      <c r="L22" s="54"/>
      <c r="M22" s="146"/>
      <c r="N22" s="50"/>
      <c r="O22" s="50"/>
      <c r="P22" s="115"/>
      <c r="Q22" s="146"/>
      <c r="R22" s="50"/>
      <c r="S22" s="120">
        <v>0</v>
      </c>
      <c r="T22" s="115"/>
      <c r="U22" s="146"/>
      <c r="V22" s="146"/>
      <c r="W22" s="12">
        <v>10</v>
      </c>
      <c r="X22" s="7"/>
      <c r="Y22" s="6"/>
      <c r="AA22" s="37"/>
      <c r="AB22" s="37"/>
      <c r="AD22" s="87">
        <f t="shared" si="0"/>
        <v>0</v>
      </c>
      <c r="AE22" s="87">
        <f t="shared" si="1"/>
        <v>0</v>
      </c>
    </row>
    <row r="23" spans="1:31" x14ac:dyDescent="0.25">
      <c r="A23" s="22">
        <f>A21+25</f>
        <v>301225</v>
      </c>
      <c r="B23" s="22"/>
      <c r="C23" s="1"/>
      <c r="D23" s="1"/>
      <c r="E23" s="1"/>
      <c r="F23" s="12"/>
      <c r="G23" s="2"/>
      <c r="H23" s="1"/>
      <c r="I23" s="12"/>
      <c r="J23" s="2"/>
      <c r="K23" s="114">
        <v>20909.05</v>
      </c>
      <c r="L23" s="54">
        <v>717.65763200000004</v>
      </c>
      <c r="M23" s="146">
        <f t="shared" si="11"/>
        <v>6.3951483560536378E-3</v>
      </c>
      <c r="N23" s="50">
        <v>6.97</v>
      </c>
      <c r="O23" s="50">
        <v>-1.6E-2</v>
      </c>
      <c r="P23" s="115">
        <f t="shared" si="2"/>
        <v>717.54611199999999</v>
      </c>
      <c r="Q23" s="146">
        <f>(P24-P23)/(A24-A23)</f>
        <v>7.3654000000033196E-3</v>
      </c>
      <c r="R23" s="50">
        <v>16</v>
      </c>
      <c r="S23" s="121">
        <f>(($S$26-$S$22)/($A$26-$A$22))*(A23-$A$22)+$S$22</f>
        <v>-1.7091775923681047E-3</v>
      </c>
      <c r="T23" s="115">
        <f t="shared" si="3"/>
        <v>717.51876515852211</v>
      </c>
      <c r="U23" s="146">
        <f>(T24-T23)/(A24-A23)</f>
        <v>3.5513356376668526E-3</v>
      </c>
      <c r="V23" s="146"/>
      <c r="W23" s="12">
        <v>10</v>
      </c>
      <c r="X23" s="12">
        <v>-0.04</v>
      </c>
      <c r="Y23" s="6">
        <f t="shared" si="4"/>
        <v>717.11876515852214</v>
      </c>
      <c r="AA23" s="37"/>
      <c r="AB23" s="37"/>
      <c r="AD23" s="87">
        <f t="shared" si="0"/>
        <v>1.4290822407631895E-2</v>
      </c>
      <c r="AE23" s="87">
        <f t="shared" si="1"/>
        <v>3.8290822407631896E-2</v>
      </c>
    </row>
    <row r="24" spans="1:31" x14ac:dyDescent="0.25">
      <c r="A24" s="22">
        <f>A23+25</f>
        <v>301250</v>
      </c>
      <c r="B24" s="22"/>
      <c r="C24" s="1"/>
      <c r="D24" s="1"/>
      <c r="E24" s="1"/>
      <c r="F24" s="12"/>
      <c r="G24" s="2"/>
      <c r="H24" s="1"/>
      <c r="I24" s="12"/>
      <c r="J24" s="2"/>
      <c r="K24" s="22">
        <v>20933.990000000002</v>
      </c>
      <c r="L24" s="54">
        <v>717.81712700000003</v>
      </c>
      <c r="M24" s="146">
        <f t="shared" si="11"/>
        <v>4.7043286573123545E-3</v>
      </c>
      <c r="N24" s="50">
        <v>5.43</v>
      </c>
      <c r="O24" s="50">
        <v>-1.6E-2</v>
      </c>
      <c r="P24" s="1">
        <f t="shared" si="2"/>
        <v>717.73024700000008</v>
      </c>
      <c r="Q24" s="146">
        <f>(P25-P24)/(A25-A24)</f>
        <v>5.6549199999972192E-3</v>
      </c>
      <c r="R24" s="50">
        <v>16</v>
      </c>
      <c r="S24" s="121">
        <f>(($S$26-$S$22)/($A$26-$A$22))*(A24-$A$22)+$S$22</f>
        <v>-7.6686531585186974E-3</v>
      </c>
      <c r="T24" s="1">
        <f t="shared" si="3"/>
        <v>717.60754854946379</v>
      </c>
      <c r="U24" s="146">
        <f>(T25-T24)/(A25-A24)</f>
        <v>1.8408556376607521E-3</v>
      </c>
      <c r="V24" s="146"/>
      <c r="W24" s="12">
        <v>10</v>
      </c>
      <c r="X24" s="12">
        <v>-0.04</v>
      </c>
      <c r="Y24" s="6">
        <f t="shared" si="4"/>
        <v>717.20754854946381</v>
      </c>
      <c r="AA24" s="37"/>
      <c r="AB24" s="37"/>
      <c r="AD24" s="87">
        <f t="shared" si="0"/>
        <v>8.3313468414813029E-3</v>
      </c>
      <c r="AE24" s="87">
        <f t="shared" si="1"/>
        <v>3.2331346841481305E-2</v>
      </c>
    </row>
    <row r="25" spans="1:31" x14ac:dyDescent="0.25">
      <c r="A25" s="22">
        <f t="shared" si="10"/>
        <v>301275</v>
      </c>
      <c r="B25" s="22"/>
      <c r="C25" s="1"/>
      <c r="D25" s="1"/>
      <c r="E25" s="1"/>
      <c r="F25" s="12"/>
      <c r="G25" s="2"/>
      <c r="H25" s="1"/>
      <c r="I25" s="12"/>
      <c r="J25" s="2"/>
      <c r="K25" s="22">
        <v>20958.939999999999</v>
      </c>
      <c r="L25" s="54">
        <v>717.93449999999996</v>
      </c>
      <c r="M25" s="146">
        <f>(L27-L25)/(K27-K25)</f>
        <v>8.1545418167280302E-3</v>
      </c>
      <c r="N25" s="50">
        <v>3.93</v>
      </c>
      <c r="O25" s="50">
        <v>-1.6E-2</v>
      </c>
      <c r="P25" s="1">
        <f t="shared" si="2"/>
        <v>717.87162000000001</v>
      </c>
      <c r="Q25" s="146">
        <f>(P27-P25)/(A27-A25)</f>
        <v>9.1048799999998657E-3</v>
      </c>
      <c r="R25" s="50">
        <v>16</v>
      </c>
      <c r="S25" s="121">
        <f>(($S$26-$S$22)/($A$26-$A$22))*(A25-$A$22)+$S$22</f>
        <v>-1.362812872466929E-2</v>
      </c>
      <c r="T25" s="1">
        <f t="shared" si="3"/>
        <v>717.6535699404053</v>
      </c>
      <c r="U25" s="146">
        <f>(T27-T25)/(A27-A25)</f>
        <v>4.5901491714494111E-3</v>
      </c>
      <c r="V25" s="146"/>
      <c r="W25" s="12">
        <v>10</v>
      </c>
      <c r="X25" s="12">
        <v>-0.04</v>
      </c>
      <c r="Y25" s="6">
        <f t="shared" si="4"/>
        <v>717.25356994040533</v>
      </c>
      <c r="AA25" s="37"/>
      <c r="AB25" s="37"/>
      <c r="AD25" s="87">
        <f t="shared" si="0"/>
        <v>2.3718712753307107E-3</v>
      </c>
      <c r="AE25" s="87">
        <f t="shared" si="1"/>
        <v>2.6371871275330711E-2</v>
      </c>
    </row>
    <row r="26" spans="1:31" x14ac:dyDescent="0.25">
      <c r="A26" s="22">
        <v>301284.95</v>
      </c>
      <c r="B26" s="22"/>
      <c r="C26" s="1"/>
      <c r="D26" s="1"/>
      <c r="E26" s="1"/>
      <c r="F26" s="12"/>
      <c r="G26" s="2"/>
      <c r="H26" s="1"/>
      <c r="I26" s="12"/>
      <c r="J26" s="2"/>
      <c r="K26" s="22"/>
      <c r="L26" s="54"/>
      <c r="M26" s="146"/>
      <c r="N26" s="50"/>
      <c r="O26" s="50"/>
      <c r="P26" s="1"/>
      <c r="Q26" s="146"/>
      <c r="R26" s="50"/>
      <c r="S26" s="120">
        <v>-1.6E-2</v>
      </c>
      <c r="T26" s="1"/>
      <c r="U26" s="146"/>
      <c r="V26" s="146"/>
      <c r="W26" s="12">
        <v>10</v>
      </c>
      <c r="X26" s="7"/>
      <c r="Y26" s="6"/>
      <c r="AA26" s="37"/>
      <c r="AB26" s="37"/>
      <c r="AD26" s="87"/>
      <c r="AE26" s="87"/>
    </row>
    <row r="27" spans="1:31" x14ac:dyDescent="0.25">
      <c r="A27" s="22">
        <f>A25+25</f>
        <v>301300</v>
      </c>
      <c r="B27" s="22"/>
      <c r="C27" s="1"/>
      <c r="D27" s="1"/>
      <c r="E27" s="1"/>
      <c r="F27" s="12"/>
      <c r="G27" s="2"/>
      <c r="H27" s="1"/>
      <c r="I27" s="12"/>
      <c r="J27" s="2"/>
      <c r="K27" s="22">
        <v>20983.93</v>
      </c>
      <c r="L27" s="54">
        <v>718.138282</v>
      </c>
      <c r="M27" s="146">
        <f>(L29-L27)/(K29-K27)</f>
        <v>6.8812849162023064E-3</v>
      </c>
      <c r="N27" s="50">
        <v>2.44</v>
      </c>
      <c r="O27" s="50">
        <v>-1.6E-2</v>
      </c>
      <c r="P27" s="1">
        <f t="shared" si="2"/>
        <v>718.099242</v>
      </c>
      <c r="Q27" s="146">
        <f>(P29-P27)/(A29-A27)</f>
        <v>7.7746000000024655E-3</v>
      </c>
      <c r="R27" s="50">
        <v>16</v>
      </c>
      <c r="S27" s="121">
        <f>(($S$28-$S$26)/($A$28-$A$26))*(A27-$A$26)+$S$26</f>
        <v>-2.0682395644278651E-2</v>
      </c>
      <c r="T27" s="1">
        <f t="shared" si="3"/>
        <v>717.76832366969154</v>
      </c>
      <c r="U27" s="146">
        <f>(T29-T27)/(A29-A27)</f>
        <v>5.0113332123419242E-3</v>
      </c>
      <c r="V27" s="146"/>
      <c r="W27" s="12">
        <v>10</v>
      </c>
      <c r="X27" s="12">
        <v>-0.04</v>
      </c>
      <c r="Y27" s="6">
        <f t="shared" si="4"/>
        <v>717.36832366969156</v>
      </c>
      <c r="AA27" s="37"/>
      <c r="AB27" s="37"/>
      <c r="AD27" s="87">
        <f t="shared" si="0"/>
        <v>4.6823956442786502E-3</v>
      </c>
      <c r="AE27" s="87">
        <f t="shared" si="1"/>
        <v>1.931760435572135E-2</v>
      </c>
    </row>
    <row r="28" spans="1:31" x14ac:dyDescent="0.25">
      <c r="A28" s="22">
        <v>301323.52000000002</v>
      </c>
      <c r="B28" s="22"/>
      <c r="C28" s="1"/>
      <c r="D28" s="1"/>
      <c r="E28" s="1"/>
      <c r="F28" s="12"/>
      <c r="G28" s="2"/>
      <c r="H28" s="1"/>
      <c r="I28" s="12"/>
      <c r="J28" s="2"/>
      <c r="K28" s="22"/>
      <c r="L28" s="54"/>
      <c r="M28" s="146"/>
      <c r="N28" s="50"/>
      <c r="O28" s="50"/>
      <c r="P28" s="1"/>
      <c r="Q28" s="146"/>
      <c r="R28" s="50"/>
      <c r="S28" s="120">
        <v>-2.8000000000000001E-2</v>
      </c>
      <c r="T28" s="1"/>
      <c r="U28" s="146"/>
      <c r="V28" s="146"/>
      <c r="W28" s="12">
        <v>10</v>
      </c>
      <c r="X28" s="7"/>
      <c r="Y28" s="6"/>
      <c r="AA28" s="37"/>
      <c r="AB28" s="37"/>
      <c r="AD28" s="87"/>
      <c r="AE28" s="87"/>
    </row>
    <row r="29" spans="1:31" x14ac:dyDescent="0.25">
      <c r="A29" s="22">
        <f>A27+25</f>
        <v>301325</v>
      </c>
      <c r="B29" s="22"/>
      <c r="C29" s="1"/>
      <c r="D29" s="1"/>
      <c r="E29" s="1"/>
      <c r="F29" s="12"/>
      <c r="G29" s="2"/>
      <c r="H29" s="1"/>
      <c r="I29" s="12"/>
      <c r="J29" s="2"/>
      <c r="K29" s="22">
        <v>21008.99</v>
      </c>
      <c r="L29" s="54">
        <v>718.31072700000004</v>
      </c>
      <c r="M29" s="146">
        <f t="shared" si="11"/>
        <v>7.3418261562993711E-3</v>
      </c>
      <c r="N29" s="50">
        <v>1.07</v>
      </c>
      <c r="O29" s="50">
        <v>-1.6E-2</v>
      </c>
      <c r="P29" s="1">
        <f t="shared" si="2"/>
        <v>718.29360700000007</v>
      </c>
      <c r="Q29" s="146">
        <f t="shared" ref="Q29:Q36" si="12">(P30-P29)/(A30-A29)</f>
        <v>8.0501199999980597E-3</v>
      </c>
      <c r="R29" s="50">
        <v>16</v>
      </c>
      <c r="S29" s="50">
        <v>-2.5000000000000001E-2</v>
      </c>
      <c r="T29" s="1">
        <f t="shared" si="3"/>
        <v>717.89360700000009</v>
      </c>
      <c r="U29" s="146">
        <f t="shared" ref="U29:U36" si="13">(T30-T29)/(A30-A29)</f>
        <v>6.2869199999977358E-3</v>
      </c>
      <c r="V29" s="146"/>
      <c r="W29" s="12">
        <v>10</v>
      </c>
      <c r="X29" s="12">
        <v>-0.04</v>
      </c>
      <c r="Y29" s="6">
        <f t="shared" si="4"/>
        <v>717.49360700000011</v>
      </c>
      <c r="AA29" s="37"/>
      <c r="AB29" s="37"/>
      <c r="AD29" s="87">
        <f t="shared" si="0"/>
        <v>9.0000000000000011E-3</v>
      </c>
      <c r="AE29" s="87">
        <f t="shared" si="1"/>
        <v>1.4999999999999999E-2</v>
      </c>
    </row>
    <row r="30" spans="1:31" x14ac:dyDescent="0.25">
      <c r="A30" s="22">
        <f>A29+25</f>
        <v>301350</v>
      </c>
      <c r="B30" s="22"/>
      <c r="C30" s="1"/>
      <c r="D30" s="1"/>
      <c r="E30" s="1"/>
      <c r="F30" s="12"/>
      <c r="G30" s="2"/>
      <c r="H30" s="1"/>
      <c r="I30" s="12"/>
      <c r="J30" s="2"/>
      <c r="K30" s="22">
        <v>21034.07</v>
      </c>
      <c r="L30" s="54">
        <v>718.49486000000002</v>
      </c>
      <c r="M30" s="146">
        <f t="shared" si="11"/>
        <v>7.803064066853006E-3</v>
      </c>
      <c r="N30" s="50">
        <v>0</v>
      </c>
      <c r="O30" s="50">
        <v>-1.6E-2</v>
      </c>
      <c r="P30" s="1">
        <f t="shared" si="2"/>
        <v>718.49486000000002</v>
      </c>
      <c r="Q30" s="146">
        <f t="shared" si="12"/>
        <v>7.84364000000096E-3</v>
      </c>
      <c r="R30" s="50">
        <v>15.86</v>
      </c>
      <c r="S30" s="50">
        <v>-2.8000000000000001E-2</v>
      </c>
      <c r="T30" s="1">
        <f t="shared" si="3"/>
        <v>718.05078000000003</v>
      </c>
      <c r="U30" s="146">
        <f t="shared" si="13"/>
        <v>9.0196400000013451E-3</v>
      </c>
      <c r="V30" s="146"/>
      <c r="W30" s="12">
        <v>10</v>
      </c>
      <c r="X30" s="12">
        <v>-0.04</v>
      </c>
      <c r="Y30" s="6">
        <f t="shared" si="4"/>
        <v>717.65078000000005</v>
      </c>
      <c r="AA30" s="37"/>
      <c r="AB30" s="37"/>
      <c r="AD30" s="87">
        <f t="shared" si="0"/>
        <v>1.2E-2</v>
      </c>
      <c r="AE30" s="87">
        <f t="shared" si="1"/>
        <v>1.2E-2</v>
      </c>
    </row>
    <row r="31" spans="1:31" x14ac:dyDescent="0.25">
      <c r="A31" s="22">
        <f t="shared" si="10"/>
        <v>301375</v>
      </c>
      <c r="B31" s="22"/>
      <c r="C31" s="1"/>
      <c r="D31" s="1"/>
      <c r="E31" s="1"/>
      <c r="F31" s="12"/>
      <c r="G31" s="2"/>
      <c r="H31" s="1"/>
      <c r="I31" s="12"/>
      <c r="J31" s="2"/>
      <c r="K31" s="22">
        <v>21059.200000000001</v>
      </c>
      <c r="L31" s="54">
        <v>718.69095100000004</v>
      </c>
      <c r="M31" s="146">
        <f t="shared" si="11"/>
        <v>8.2645957785709434E-3</v>
      </c>
      <c r="N31" s="50">
        <v>0</v>
      </c>
      <c r="O31" s="50">
        <v>-1.6E-2</v>
      </c>
      <c r="P31" s="1">
        <f t="shared" si="2"/>
        <v>718.69095100000004</v>
      </c>
      <c r="Q31" s="146">
        <f t="shared" si="12"/>
        <v>8.3009599999968493E-3</v>
      </c>
      <c r="R31" s="50">
        <v>14.81</v>
      </c>
      <c r="S31" s="50">
        <v>-2.8000000000000001E-2</v>
      </c>
      <c r="T31" s="1">
        <f t="shared" si="3"/>
        <v>718.27627100000007</v>
      </c>
      <c r="U31" s="146">
        <f t="shared" si="13"/>
        <v>9.2753599999969086E-3</v>
      </c>
      <c r="V31" s="146"/>
      <c r="W31" s="12">
        <v>10</v>
      </c>
      <c r="X31" s="12">
        <v>-0.04</v>
      </c>
      <c r="Y31" s="6">
        <f t="shared" si="4"/>
        <v>717.87627100000009</v>
      </c>
      <c r="AA31" s="37"/>
      <c r="AB31" s="37"/>
      <c r="AD31" s="87">
        <f t="shared" si="0"/>
        <v>1.2E-2</v>
      </c>
      <c r="AE31" s="87">
        <f t="shared" si="1"/>
        <v>1.2E-2</v>
      </c>
    </row>
    <row r="32" spans="1:31" x14ac:dyDescent="0.25">
      <c r="A32" s="22">
        <f t="shared" si="10"/>
        <v>301400</v>
      </c>
      <c r="B32" s="22"/>
      <c r="C32" s="1"/>
      <c r="D32" s="1"/>
      <c r="E32" s="1"/>
      <c r="F32" s="12"/>
      <c r="G32" s="2"/>
      <c r="H32" s="1"/>
      <c r="I32" s="12"/>
      <c r="J32" s="2"/>
      <c r="K32" s="22">
        <v>21084.31</v>
      </c>
      <c r="L32" s="54">
        <v>718.89847499999996</v>
      </c>
      <c r="M32" s="146">
        <f t="shared" si="11"/>
        <v>8.7257473096851949E-3</v>
      </c>
      <c r="N32" s="50">
        <v>0</v>
      </c>
      <c r="O32" s="50">
        <v>-1.6E-2</v>
      </c>
      <c r="P32" s="1">
        <f t="shared" si="2"/>
        <v>718.89847499999996</v>
      </c>
      <c r="Q32" s="146">
        <f t="shared" si="12"/>
        <v>8.7571600000001127E-3</v>
      </c>
      <c r="R32" s="50">
        <v>13.94</v>
      </c>
      <c r="S32" s="50">
        <v>-2.8000000000000001E-2</v>
      </c>
      <c r="T32" s="1">
        <f t="shared" si="3"/>
        <v>718.50815499999999</v>
      </c>
      <c r="U32" s="146">
        <f t="shared" si="13"/>
        <v>9.5635599999968693E-3</v>
      </c>
      <c r="V32" s="146"/>
      <c r="W32" s="12">
        <v>10</v>
      </c>
      <c r="X32" s="12">
        <v>-0.04</v>
      </c>
      <c r="Y32" s="6">
        <f t="shared" si="4"/>
        <v>718.10815500000001</v>
      </c>
      <c r="AA32" s="37"/>
      <c r="AB32" s="37"/>
      <c r="AD32" s="87">
        <f t="shared" si="0"/>
        <v>1.2E-2</v>
      </c>
      <c r="AE32" s="87">
        <f t="shared" si="1"/>
        <v>1.2E-2</v>
      </c>
    </row>
    <row r="33" spans="1:31" x14ac:dyDescent="0.25">
      <c r="A33" s="22">
        <f t="shared" si="10"/>
        <v>301425</v>
      </c>
      <c r="B33" s="7"/>
      <c r="C33" s="7"/>
      <c r="D33" s="7"/>
      <c r="E33" s="7"/>
      <c r="F33" s="7"/>
      <c r="G33" s="7"/>
      <c r="H33" s="7"/>
      <c r="I33" s="7"/>
      <c r="J33" s="7"/>
      <c r="K33" s="22">
        <v>21109.4</v>
      </c>
      <c r="L33" s="54">
        <v>719.11740399999996</v>
      </c>
      <c r="M33" s="146">
        <f t="shared" si="11"/>
        <v>9.1867729083675263E-3</v>
      </c>
      <c r="N33" s="50">
        <v>0</v>
      </c>
      <c r="O33" s="50">
        <v>-1.6E-2</v>
      </c>
      <c r="P33" s="1">
        <f t="shared" si="2"/>
        <v>719.11740399999996</v>
      </c>
      <c r="Q33" s="146">
        <f t="shared" si="12"/>
        <v>9.2235200000004621E-3</v>
      </c>
      <c r="R33" s="50">
        <v>13.22</v>
      </c>
      <c r="S33" s="50">
        <v>-2.8000000000000001E-2</v>
      </c>
      <c r="T33" s="1">
        <f t="shared" si="3"/>
        <v>718.74724399999991</v>
      </c>
      <c r="U33" s="146">
        <f t="shared" si="13"/>
        <v>9.8395200000004485E-3</v>
      </c>
      <c r="V33" s="146"/>
      <c r="W33" s="12">
        <v>10</v>
      </c>
      <c r="X33" s="12">
        <v>-0.04</v>
      </c>
      <c r="Y33" s="6">
        <f t="shared" si="4"/>
        <v>718.34724399999993</v>
      </c>
      <c r="AA33" s="37"/>
      <c r="AB33" s="37"/>
      <c r="AD33" s="87">
        <f t="shared" si="0"/>
        <v>1.2E-2</v>
      </c>
      <c r="AE33" s="87">
        <f t="shared" si="1"/>
        <v>1.2E-2</v>
      </c>
    </row>
    <row r="34" spans="1:31" x14ac:dyDescent="0.25">
      <c r="A34" s="22">
        <f t="shared" si="10"/>
        <v>301450</v>
      </c>
      <c r="B34" s="7"/>
      <c r="C34" s="7"/>
      <c r="D34" s="7"/>
      <c r="E34" s="7"/>
      <c r="F34" s="7"/>
      <c r="G34" s="7"/>
      <c r="H34" s="7"/>
      <c r="I34" s="7"/>
      <c r="J34" s="7"/>
      <c r="K34" s="22">
        <v>21134.5</v>
      </c>
      <c r="L34" s="54">
        <v>719.34799199999998</v>
      </c>
      <c r="M34" s="146">
        <f t="shared" si="11"/>
        <v>9.350398724082493E-3</v>
      </c>
      <c r="N34" s="50">
        <v>0</v>
      </c>
      <c r="O34" s="50">
        <v>-1.6E-2</v>
      </c>
      <c r="P34" s="1">
        <f t="shared" si="2"/>
        <v>719.34799199999998</v>
      </c>
      <c r="Q34" s="146">
        <f t="shared" si="12"/>
        <v>9.3803200000002109E-3</v>
      </c>
      <c r="R34" s="50">
        <v>12.67</v>
      </c>
      <c r="S34" s="50">
        <v>-2.8000000000000001E-2</v>
      </c>
      <c r="T34" s="1">
        <f t="shared" si="3"/>
        <v>718.99323199999992</v>
      </c>
      <c r="U34" s="146">
        <f t="shared" si="13"/>
        <v>9.8171200000024324E-3</v>
      </c>
      <c r="V34" s="146"/>
      <c r="W34" s="12">
        <v>10</v>
      </c>
      <c r="X34" s="12">
        <v>-0.04</v>
      </c>
      <c r="Y34" s="6">
        <f t="shared" si="4"/>
        <v>718.59323199999994</v>
      </c>
      <c r="AA34" s="37"/>
      <c r="AB34" s="37"/>
      <c r="AD34" s="87">
        <f t="shared" si="0"/>
        <v>1.2E-2</v>
      </c>
      <c r="AE34" s="87">
        <f t="shared" si="1"/>
        <v>1.2E-2</v>
      </c>
    </row>
    <row r="35" spans="1:31" x14ac:dyDescent="0.25">
      <c r="A35" s="22">
        <f t="shared" si="10"/>
        <v>301475</v>
      </c>
      <c r="B35" s="7"/>
      <c r="C35" s="7"/>
      <c r="D35" s="7"/>
      <c r="E35" s="7"/>
      <c r="F35" s="7"/>
      <c r="G35" s="7"/>
      <c r="H35" s="7"/>
      <c r="I35" s="7"/>
      <c r="J35" s="7"/>
      <c r="K35" s="22">
        <v>21159.58</v>
      </c>
      <c r="L35" s="54">
        <v>719.58249999999998</v>
      </c>
      <c r="M35" s="146">
        <f t="shared" si="11"/>
        <v>1.040582137161254E-2</v>
      </c>
      <c r="N35" s="50">
        <v>0</v>
      </c>
      <c r="O35" s="50">
        <v>-1.6E-2</v>
      </c>
      <c r="P35" s="1">
        <f t="shared" si="2"/>
        <v>719.58249999999998</v>
      </c>
      <c r="Q35" s="146">
        <f t="shared" si="12"/>
        <v>1.0439120000000912E-2</v>
      </c>
      <c r="R35" s="50">
        <v>12.28</v>
      </c>
      <c r="S35" s="50">
        <v>-2.8000000000000001E-2</v>
      </c>
      <c r="T35" s="1">
        <f t="shared" si="3"/>
        <v>719.23865999999998</v>
      </c>
      <c r="U35" s="146">
        <f t="shared" si="13"/>
        <v>1.0685520000001815E-2</v>
      </c>
      <c r="V35" s="146"/>
      <c r="W35" s="12">
        <v>10</v>
      </c>
      <c r="X35" s="12">
        <v>-0.04</v>
      </c>
      <c r="Y35" s="6">
        <f t="shared" si="4"/>
        <v>718.83866</v>
      </c>
      <c r="AA35" s="37"/>
      <c r="AB35" s="37"/>
      <c r="AD35" s="87">
        <f t="shared" si="0"/>
        <v>1.2E-2</v>
      </c>
      <c r="AE35" s="87">
        <f t="shared" si="1"/>
        <v>1.2E-2</v>
      </c>
    </row>
    <row r="36" spans="1:31" x14ac:dyDescent="0.25">
      <c r="A36" s="22">
        <f t="shared" si="10"/>
        <v>301500</v>
      </c>
      <c r="B36" s="7"/>
      <c r="C36" s="7"/>
      <c r="D36" s="7"/>
      <c r="E36" s="7"/>
      <c r="F36" s="7"/>
      <c r="G36" s="7"/>
      <c r="H36" s="7"/>
      <c r="I36" s="7"/>
      <c r="J36" s="7"/>
      <c r="K36" s="22">
        <v>21184.66</v>
      </c>
      <c r="L36" s="54">
        <v>719.843478</v>
      </c>
      <c r="M36" s="146">
        <f t="shared" si="11"/>
        <v>1.0424814126392852E-2</v>
      </c>
      <c r="N36" s="50">
        <v>0</v>
      </c>
      <c r="O36" s="50">
        <v>-1.6E-2</v>
      </c>
      <c r="P36" s="1">
        <f t="shared" si="2"/>
        <v>719.843478</v>
      </c>
      <c r="Q36" s="146">
        <f t="shared" si="12"/>
        <v>1.045883449882783E-2</v>
      </c>
      <c r="R36" s="50">
        <v>12.06</v>
      </c>
      <c r="S36" s="50">
        <v>-2.8000000000000001E-2</v>
      </c>
      <c r="T36" s="1">
        <f t="shared" si="3"/>
        <v>719.50579800000003</v>
      </c>
      <c r="U36" s="146">
        <f t="shared" si="13"/>
        <v>1.0537156177147827E-2</v>
      </c>
      <c r="V36" s="146"/>
      <c r="W36" s="12">
        <v>10</v>
      </c>
      <c r="X36" s="12">
        <v>-0.04</v>
      </c>
      <c r="Y36" s="6">
        <f t="shared" si="4"/>
        <v>719.10579800000005</v>
      </c>
      <c r="AA36" s="37"/>
      <c r="AB36" s="37"/>
      <c r="AD36" s="87">
        <f t="shared" si="0"/>
        <v>1.2E-2</v>
      </c>
      <c r="AE36" s="87">
        <f t="shared" si="1"/>
        <v>1.2E-2</v>
      </c>
    </row>
    <row r="37" spans="1:31" x14ac:dyDescent="0.25">
      <c r="A37" s="22">
        <v>301521.45</v>
      </c>
      <c r="B37" s="7"/>
      <c r="C37" s="7"/>
      <c r="D37" s="7"/>
      <c r="E37" s="7"/>
      <c r="F37" s="7"/>
      <c r="G37" s="7"/>
      <c r="H37" s="7"/>
      <c r="I37" s="7"/>
      <c r="J37" s="7"/>
      <c r="K37" s="22">
        <v>21206.18</v>
      </c>
      <c r="L37" s="54">
        <v>720.06781999999998</v>
      </c>
      <c r="M37" s="146"/>
      <c r="N37" s="50">
        <v>0</v>
      </c>
      <c r="O37" s="50">
        <v>-1.6E-2</v>
      </c>
      <c r="P37" s="1">
        <f t="shared" si="2"/>
        <v>720.06781999999998</v>
      </c>
      <c r="Q37" s="147"/>
      <c r="R37" s="50">
        <v>12</v>
      </c>
      <c r="S37" s="50">
        <v>-2.8000000000000001E-2</v>
      </c>
      <c r="T37" s="1">
        <f t="shared" si="3"/>
        <v>719.73181999999997</v>
      </c>
      <c r="U37" s="147"/>
      <c r="V37" s="147"/>
      <c r="W37" s="12">
        <v>10</v>
      </c>
      <c r="X37" s="12">
        <v>-0.04</v>
      </c>
      <c r="Y37" s="6">
        <f t="shared" si="4"/>
        <v>719.33181999999999</v>
      </c>
      <c r="AA37" s="37"/>
      <c r="AB37" s="37"/>
      <c r="AD37" s="87">
        <f t="shared" si="0"/>
        <v>1.2E-2</v>
      </c>
      <c r="AE37" s="87">
        <f t="shared" si="1"/>
        <v>1.2E-2</v>
      </c>
    </row>
    <row r="38" spans="1:31" x14ac:dyDescent="0.25">
      <c r="T38" s="157"/>
      <c r="U38" s="157"/>
    </row>
    <row r="39" spans="1:31" x14ac:dyDescent="0.25">
      <c r="T39" s="157" t="s">
        <v>60</v>
      </c>
      <c r="U39" s="157"/>
    </row>
  </sheetData>
  <sheetProtection algorithmName="SHA-512" hashValue="4lbmTw1tottDSbAb6wqTrivuqW6tprqlktk0C7cCjWVaQEynE5GByGBwabNaFrjQ7LWPo9/35NMBgaCoHY9Lrw==" saltValue="mh8MCNOETGFzJeGwwAPZ5w==" spinCount="100000" sheet="1" objects="1" scenarios="1"/>
  <pageMargins left="0.7" right="0.7" top="0.75" bottom="0.75" header="0.3" footer="0.3"/>
  <pageSetup paperSize="17" scale="51" orientation="landscape" r:id="rId1"/>
  <colBreaks count="1" manualBreakCount="1">
    <brk id="2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topLeftCell="C1" zoomScale="85" zoomScaleNormal="85" workbookViewId="0">
      <selection activeCell="J38" sqref="J38"/>
    </sheetView>
  </sheetViews>
  <sheetFormatPr defaultRowHeight="15" x14ac:dyDescent="0.25"/>
  <cols>
    <col min="1" max="1" width="16.7109375" style="9" customWidth="1"/>
    <col min="2" max="3" width="25.85546875" style="9" customWidth="1"/>
    <col min="4" max="4" width="9.42578125" style="9" customWidth="1"/>
    <col min="5" max="5" width="9.140625" style="174" customWidth="1"/>
    <col min="6" max="6" width="12.85546875" style="174" customWidth="1"/>
    <col min="7" max="7" width="10.85546875" style="174" customWidth="1"/>
    <col min="8" max="8" width="13" style="174" customWidth="1"/>
    <col min="9" max="9" width="20.42578125" style="9" customWidth="1"/>
    <col min="10" max="10" width="25.7109375" style="9" customWidth="1"/>
    <col min="11" max="11" width="9.140625" style="9"/>
    <col min="12" max="12" width="12.7109375" style="9" customWidth="1"/>
    <col min="13" max="13" width="10.5703125" style="9" bestFit="1" customWidth="1"/>
    <col min="14" max="14" width="31.28515625" style="9" customWidth="1"/>
    <col min="15" max="16" width="9.140625" style="9" customWidth="1"/>
    <col min="17" max="17" width="17.140625" style="176" customWidth="1"/>
    <col min="18" max="18" width="17.42578125" style="9" customWidth="1"/>
    <col min="19" max="19" width="15.42578125" style="9" customWidth="1"/>
    <col min="20" max="21" width="16.85546875" style="9" customWidth="1"/>
    <col min="22" max="22" width="18.5703125" style="9" customWidth="1"/>
    <col min="23" max="23" width="15" style="9" customWidth="1"/>
    <col min="24" max="24" width="14.85546875" style="9" customWidth="1"/>
    <col min="25" max="25" width="13.140625" style="9" customWidth="1"/>
    <col min="26" max="26" width="9.140625" style="9"/>
    <col min="27" max="27" width="20.140625" style="9" customWidth="1"/>
    <col min="28" max="28" width="26.7109375" style="9" customWidth="1"/>
    <col min="29" max="29" width="23.5703125" style="9" customWidth="1"/>
    <col min="30" max="30" width="24.85546875" style="9" customWidth="1"/>
    <col min="31" max="31" width="27.28515625" style="9" customWidth="1"/>
    <col min="32" max="32" width="27.5703125" style="9" customWidth="1"/>
    <col min="33" max="33" width="31" style="9" customWidth="1"/>
    <col min="34" max="16384" width="9.140625" style="9"/>
  </cols>
  <sheetData>
    <row r="1" spans="1:33" s="41" customFormat="1" ht="15.75" thickBot="1" x14ac:dyDescent="0.3">
      <c r="B1" s="41" t="s">
        <v>75</v>
      </c>
      <c r="E1" s="37"/>
      <c r="F1" s="37"/>
      <c r="G1" s="37"/>
      <c r="H1" s="37"/>
      <c r="J1" s="37"/>
      <c r="K1" s="42"/>
      <c r="L1" s="42"/>
      <c r="Q1" s="96"/>
      <c r="Y1" s="37"/>
    </row>
    <row r="2" spans="1:33" s="41" customFormat="1" x14ac:dyDescent="0.25">
      <c r="A2" s="41" t="s">
        <v>46</v>
      </c>
      <c r="B2" s="92" t="s">
        <v>62</v>
      </c>
      <c r="C2" s="170" t="s">
        <v>67</v>
      </c>
      <c r="D2" s="164" t="s">
        <v>64</v>
      </c>
      <c r="E2" s="173" t="s">
        <v>66</v>
      </c>
      <c r="F2" s="173" t="s">
        <v>0</v>
      </c>
      <c r="G2" s="173" t="s">
        <v>0</v>
      </c>
      <c r="H2" s="173" t="s">
        <v>0</v>
      </c>
      <c r="I2" s="11" t="s">
        <v>63</v>
      </c>
      <c r="J2" s="170" t="s">
        <v>26</v>
      </c>
      <c r="K2" s="220" t="s">
        <v>8</v>
      </c>
      <c r="L2" s="220" t="s">
        <v>25</v>
      </c>
      <c r="M2" s="15" t="s">
        <v>25</v>
      </c>
      <c r="N2" s="15" t="s">
        <v>27</v>
      </c>
      <c r="O2" s="15" t="s">
        <v>10</v>
      </c>
      <c r="P2" s="15" t="s">
        <v>10</v>
      </c>
      <c r="Q2" s="218" t="s">
        <v>73</v>
      </c>
      <c r="R2" s="15" t="s">
        <v>71</v>
      </c>
      <c r="S2" s="15" t="s">
        <v>72</v>
      </c>
      <c r="T2" s="14"/>
      <c r="U2" s="220" t="s">
        <v>72</v>
      </c>
      <c r="V2" s="15" t="s">
        <v>71</v>
      </c>
      <c r="W2" s="15" t="s">
        <v>0</v>
      </c>
      <c r="X2" s="15" t="s">
        <v>0</v>
      </c>
      <c r="Y2" s="223" t="s">
        <v>0</v>
      </c>
      <c r="Z2" s="45"/>
      <c r="AA2" s="15" t="s">
        <v>76</v>
      </c>
      <c r="AB2" s="219" t="s">
        <v>77</v>
      </c>
    </row>
    <row r="3" spans="1:33" s="41" customFormat="1" x14ac:dyDescent="0.25">
      <c r="A3" s="41" t="s">
        <v>47</v>
      </c>
      <c r="B3" s="93"/>
      <c r="C3" s="171" t="s">
        <v>68</v>
      </c>
      <c r="D3" s="165" t="s">
        <v>9</v>
      </c>
      <c r="E3" s="172" t="s">
        <v>65</v>
      </c>
      <c r="F3" s="172" t="s">
        <v>80</v>
      </c>
      <c r="G3" s="172" t="s">
        <v>9</v>
      </c>
      <c r="H3" s="172" t="s">
        <v>11</v>
      </c>
      <c r="I3" s="169" t="s">
        <v>19</v>
      </c>
      <c r="J3" s="171" t="s">
        <v>29</v>
      </c>
      <c r="K3" s="221" t="s">
        <v>9</v>
      </c>
      <c r="L3" s="221" t="s">
        <v>70</v>
      </c>
      <c r="M3" s="10" t="s">
        <v>11</v>
      </c>
      <c r="N3" s="10" t="s">
        <v>78</v>
      </c>
      <c r="O3" s="10" t="s">
        <v>11</v>
      </c>
      <c r="P3" s="10" t="s">
        <v>9</v>
      </c>
      <c r="Q3" s="222" t="s">
        <v>19</v>
      </c>
      <c r="R3" s="10" t="s">
        <v>14</v>
      </c>
      <c r="S3" s="10" t="s">
        <v>31</v>
      </c>
      <c r="T3" s="10" t="s">
        <v>32</v>
      </c>
      <c r="U3" s="221" t="s">
        <v>70</v>
      </c>
      <c r="V3" s="10" t="s">
        <v>74</v>
      </c>
      <c r="W3" s="10" t="s">
        <v>11</v>
      </c>
      <c r="X3" s="10" t="s">
        <v>9</v>
      </c>
      <c r="Y3" s="224" t="s">
        <v>15</v>
      </c>
      <c r="Z3" s="47"/>
      <c r="AA3" s="10" t="s">
        <v>17</v>
      </c>
      <c r="AB3" s="225" t="s">
        <v>16</v>
      </c>
      <c r="AD3" s="177"/>
      <c r="AE3" s="216"/>
      <c r="AF3" s="181"/>
      <c r="AG3" s="217"/>
    </row>
    <row r="4" spans="1:33" s="41" customFormat="1" x14ac:dyDescent="0.25">
      <c r="A4" s="100">
        <f>((D14-D8)/(B14-B8))</f>
        <v>3.1886636629460425E-4</v>
      </c>
      <c r="B4" s="93"/>
      <c r="C4" s="172" t="s">
        <v>69</v>
      </c>
      <c r="D4" s="166"/>
      <c r="E4" s="167"/>
      <c r="F4" s="167"/>
      <c r="G4" s="167"/>
      <c r="H4" s="167"/>
      <c r="I4" s="49"/>
      <c r="J4" s="1"/>
      <c r="K4" s="2"/>
      <c r="L4" s="2"/>
      <c r="M4" s="12"/>
      <c r="N4" s="12"/>
      <c r="O4" s="12"/>
      <c r="P4" s="12"/>
      <c r="Q4" s="175"/>
      <c r="R4" s="12"/>
      <c r="S4" s="12"/>
      <c r="T4" s="12"/>
      <c r="U4" s="12"/>
      <c r="V4" s="10"/>
      <c r="W4" s="12"/>
      <c r="X4" s="12"/>
      <c r="Y4" s="6"/>
      <c r="Z4" s="47"/>
      <c r="AA4" s="12"/>
      <c r="AB4" s="48"/>
    </row>
    <row r="5" spans="1:33" s="41" customFormat="1" x14ac:dyDescent="0.25">
      <c r="A5" s="180">
        <v>0.02</v>
      </c>
      <c r="B5" s="163">
        <v>300246.96779999998</v>
      </c>
      <c r="C5" s="188">
        <v>738.62400000000002</v>
      </c>
      <c r="D5" s="168">
        <f>A5</f>
        <v>0.02</v>
      </c>
      <c r="E5" s="167">
        <v>0</v>
      </c>
      <c r="F5" s="167">
        <f t="shared" ref="F5:F17" si="0">J5-G5*H5</f>
        <v>738.22400000000005</v>
      </c>
      <c r="G5" s="167">
        <v>0.04</v>
      </c>
      <c r="H5" s="167">
        <v>10</v>
      </c>
      <c r="I5" s="49">
        <f>B5</f>
        <v>300246.96779999998</v>
      </c>
      <c r="J5" s="1">
        <f>C5+(D5*E5)</f>
        <v>738.62400000000002</v>
      </c>
      <c r="K5" s="2">
        <f>D5</f>
        <v>0.02</v>
      </c>
      <c r="L5" s="2"/>
      <c r="M5" s="1">
        <v>16</v>
      </c>
      <c r="N5" s="12"/>
      <c r="O5" s="12"/>
      <c r="P5" s="12"/>
      <c r="Q5" s="175"/>
      <c r="R5" s="12"/>
      <c r="S5" s="12"/>
      <c r="T5" s="12"/>
      <c r="U5" s="12"/>
      <c r="V5" s="10"/>
      <c r="W5" s="12"/>
      <c r="X5" s="12"/>
      <c r="Y5" s="6"/>
      <c r="Z5" s="47"/>
      <c r="AA5" s="12"/>
      <c r="AB5" s="48"/>
    </row>
    <row r="6" spans="1:33" s="41" customFormat="1" x14ac:dyDescent="0.25">
      <c r="A6" s="42">
        <v>0.02</v>
      </c>
      <c r="B6" s="163">
        <v>300255.19949999999</v>
      </c>
      <c r="C6" s="167">
        <v>738.82669999999996</v>
      </c>
      <c r="D6" s="168">
        <v>0.02</v>
      </c>
      <c r="E6" s="167">
        <v>0</v>
      </c>
      <c r="F6" s="167">
        <f t="shared" si="0"/>
        <v>738.42669999999998</v>
      </c>
      <c r="G6" s="167">
        <v>0.04</v>
      </c>
      <c r="H6" s="167">
        <v>10</v>
      </c>
      <c r="I6" s="5">
        <v>300255.2</v>
      </c>
      <c r="J6" s="1">
        <f>C6+(D6*E6)</f>
        <v>738.82669999999996</v>
      </c>
      <c r="K6" s="2">
        <f>D6</f>
        <v>0.02</v>
      </c>
      <c r="L6" s="2">
        <f>(((J6-J5)/(I6-I5)))</f>
        <v>2.4622822574676888E-2</v>
      </c>
      <c r="M6" s="88">
        <v>16</v>
      </c>
      <c r="N6" s="1">
        <f>J6+(K6*M6)</f>
        <v>739.14670000000001</v>
      </c>
      <c r="O6" s="1">
        <v>0.27</v>
      </c>
      <c r="P6" s="27">
        <f>(R6-N6)/O6</f>
        <v>0</v>
      </c>
      <c r="Q6" s="175">
        <v>503722.78350000002</v>
      </c>
      <c r="R6" s="1">
        <f>N6</f>
        <v>739.14670000000001</v>
      </c>
      <c r="S6" s="12">
        <v>13.222</v>
      </c>
      <c r="T6" s="2">
        <v>1.6E-2</v>
      </c>
      <c r="U6" s="2"/>
      <c r="V6" s="1">
        <f>R6+(S6*T6)</f>
        <v>739.35825199999999</v>
      </c>
      <c r="W6" s="12"/>
      <c r="X6" s="12"/>
      <c r="Y6" s="6"/>
      <c r="Z6" s="47"/>
      <c r="AA6" s="52">
        <f>T6-P6</f>
        <v>1.6E-2</v>
      </c>
      <c r="AB6" s="53">
        <f>K6-P6</f>
        <v>0.02</v>
      </c>
      <c r="AE6" s="42"/>
    </row>
    <row r="7" spans="1:33" s="41" customFormat="1" x14ac:dyDescent="0.25">
      <c r="A7" s="42">
        <v>0.02</v>
      </c>
      <c r="B7" s="163">
        <v>300275</v>
      </c>
      <c r="C7" s="167">
        <v>739.31299999999999</v>
      </c>
      <c r="D7" s="168">
        <v>0.02</v>
      </c>
      <c r="E7" s="167">
        <v>0</v>
      </c>
      <c r="F7" s="167">
        <f t="shared" si="0"/>
        <v>738.91300000000001</v>
      </c>
      <c r="G7" s="167">
        <v>0.04</v>
      </c>
      <c r="H7" s="167">
        <v>10</v>
      </c>
      <c r="I7" s="5">
        <v>300275</v>
      </c>
      <c r="J7" s="1">
        <f t="shared" ref="J7:J17" si="1">C7+(D7*E7)</f>
        <v>739.31299999999999</v>
      </c>
      <c r="K7" s="2">
        <f t="shared" ref="K7:K17" si="2">D7</f>
        <v>0.02</v>
      </c>
      <c r="L7" s="2">
        <f>(((J7-J6)/(I7-I6)))</f>
        <v>2.4560606060621933E-2</v>
      </c>
      <c r="M7" s="88">
        <v>16</v>
      </c>
      <c r="N7" s="1">
        <f t="shared" ref="N7:N17" si="3">J7+(K7*M7)</f>
        <v>739.63300000000004</v>
      </c>
      <c r="O7" s="1">
        <v>0.95909900000000003</v>
      </c>
      <c r="P7" s="27">
        <f>(R7-N7)/O7</f>
        <v>1.9288936804247821E-2</v>
      </c>
      <c r="Q7" s="175">
        <v>503742.6139</v>
      </c>
      <c r="R7" s="1">
        <v>739.65150000000006</v>
      </c>
      <c r="S7" s="12">
        <v>13.19</v>
      </c>
      <c r="T7" s="2">
        <f>T6</f>
        <v>1.6E-2</v>
      </c>
      <c r="U7" s="2">
        <f>(R7-R6)/(Q7-Q6)</f>
        <v>2.5455865741519527E-2</v>
      </c>
      <c r="V7" s="1">
        <f t="shared" ref="V7:V16" si="4">R7+(S7*T7)</f>
        <v>739.86254000000008</v>
      </c>
      <c r="W7" s="12"/>
      <c r="X7" s="12"/>
      <c r="Y7" s="6"/>
      <c r="Z7" s="47"/>
      <c r="AA7" s="52">
        <f t="shared" ref="AA7:AA16" si="5">P7-T7</f>
        <v>3.2889368042478204E-3</v>
      </c>
      <c r="AB7" s="53">
        <f t="shared" ref="AB7:AB16" si="6">K7-P7</f>
        <v>7.1106319575217972E-4</v>
      </c>
      <c r="AD7" s="42"/>
      <c r="AE7" s="42"/>
    </row>
    <row r="8" spans="1:33" s="41" customFormat="1" x14ac:dyDescent="0.25">
      <c r="A8" s="42">
        <f>D8</f>
        <v>0.02</v>
      </c>
      <c r="B8" s="163">
        <v>300288.44</v>
      </c>
      <c r="C8" s="167">
        <v>739.60599999999999</v>
      </c>
      <c r="D8" s="168">
        <v>0.02</v>
      </c>
      <c r="E8" s="167">
        <v>0</v>
      </c>
      <c r="F8" s="167">
        <f t="shared" si="0"/>
        <v>739.20600000000002</v>
      </c>
      <c r="G8" s="167">
        <v>0.04</v>
      </c>
      <c r="H8" s="167">
        <v>10</v>
      </c>
      <c r="I8" s="162">
        <v>300288.88</v>
      </c>
      <c r="J8" s="1">
        <f t="shared" si="1"/>
        <v>739.60599999999999</v>
      </c>
      <c r="K8" s="2">
        <f t="shared" si="2"/>
        <v>0.02</v>
      </c>
      <c r="L8" s="2">
        <f t="shared" ref="L8:L16" si="7">(((J8-J7)/(I8-I7)))</f>
        <v>2.1109510086448707E-2</v>
      </c>
      <c r="M8" s="88">
        <v>16</v>
      </c>
      <c r="N8" s="1">
        <f t="shared" si="3"/>
        <v>739.92600000000004</v>
      </c>
      <c r="O8" s="1">
        <v>1.4728520000000001</v>
      </c>
      <c r="P8" s="187">
        <f>(R8-N8)/O8</f>
        <v>5.1600568149351149E-2</v>
      </c>
      <c r="Q8" s="175">
        <v>503756.51760000002</v>
      </c>
      <c r="R8" s="1">
        <v>740.00199999999995</v>
      </c>
      <c r="S8" s="12">
        <v>13.63</v>
      </c>
      <c r="T8" s="2">
        <f t="shared" ref="T8:T16" si="8">T7</f>
        <v>1.6E-2</v>
      </c>
      <c r="U8" s="2">
        <f t="shared" ref="U8:U16" si="9">(R8-R7)/(Q8-Q7)</f>
        <v>2.520911699758209E-2</v>
      </c>
      <c r="V8" s="1">
        <f t="shared" si="4"/>
        <v>740.22007999999994</v>
      </c>
      <c r="W8" s="12"/>
      <c r="X8" s="12"/>
      <c r="Y8" s="6"/>
      <c r="Z8" s="47"/>
      <c r="AA8" s="52">
        <f t="shared" si="5"/>
        <v>3.5600568149351149E-2</v>
      </c>
      <c r="AB8" s="53">
        <f t="shared" si="6"/>
        <v>-3.1600568149351152E-2</v>
      </c>
      <c r="AD8" s="42"/>
      <c r="AE8" s="42"/>
    </row>
    <row r="9" spans="1:33" s="41" customFormat="1" x14ac:dyDescent="0.25">
      <c r="A9" s="42">
        <f>A8+((B9-B8)*$A$4)</f>
        <v>2.3686095194364883E-2</v>
      </c>
      <c r="B9" s="163">
        <v>300300</v>
      </c>
      <c r="C9" s="167">
        <v>739.85799999999995</v>
      </c>
      <c r="D9" s="168">
        <f>A9</f>
        <v>2.3686095194364883E-2</v>
      </c>
      <c r="E9" s="167">
        <v>6.4999999999999997E-3</v>
      </c>
      <c r="F9" s="167">
        <f t="shared" si="0"/>
        <v>739.4581539596187</v>
      </c>
      <c r="G9" s="167">
        <v>0.04</v>
      </c>
      <c r="H9" s="167">
        <v>10</v>
      </c>
      <c r="I9" s="90">
        <v>300300</v>
      </c>
      <c r="J9" s="1">
        <f t="shared" si="1"/>
        <v>739.85815395961868</v>
      </c>
      <c r="K9" s="2">
        <f t="shared" si="2"/>
        <v>2.3686095194364883E-2</v>
      </c>
      <c r="L9" s="2">
        <f t="shared" si="7"/>
        <v>2.267571579305637E-2</v>
      </c>
      <c r="M9" s="50">
        <v>16</v>
      </c>
      <c r="N9" s="1">
        <f t="shared" si="3"/>
        <v>740.2371314827285</v>
      </c>
      <c r="O9" s="1">
        <v>1.8986000000000001</v>
      </c>
      <c r="P9" s="187">
        <f>(R9-N9)/O9</f>
        <v>2.4053785563810961E-2</v>
      </c>
      <c r="Q9" s="175">
        <v>503767.65779999999</v>
      </c>
      <c r="R9" s="1">
        <v>740.28279999999995</v>
      </c>
      <c r="S9" s="12">
        <v>14</v>
      </c>
      <c r="T9" s="2">
        <f t="shared" si="8"/>
        <v>1.6E-2</v>
      </c>
      <c r="U9" s="2">
        <f t="shared" si="9"/>
        <v>2.5206010664159968E-2</v>
      </c>
      <c r="V9" s="1">
        <f t="shared" si="4"/>
        <v>740.5068</v>
      </c>
      <c r="W9" s="12"/>
      <c r="X9" s="12"/>
      <c r="Y9" s="6"/>
      <c r="Z9" s="47"/>
      <c r="AA9" s="52">
        <f t="shared" si="5"/>
        <v>8.0537855638109605E-3</v>
      </c>
      <c r="AB9" s="53">
        <f t="shared" si="6"/>
        <v>-3.6769036944607827E-4</v>
      </c>
      <c r="AC9" s="177"/>
      <c r="AD9" s="180"/>
      <c r="AE9" s="180"/>
      <c r="AF9" s="177"/>
    </row>
    <row r="10" spans="1:33" s="41" customFormat="1" x14ac:dyDescent="0.25">
      <c r="A10" s="42">
        <f t="shared" ref="A10:A14" si="10">A9+((B10-B9)*$A$4)</f>
        <v>3.1657754351729989E-2</v>
      </c>
      <c r="B10" s="163">
        <v>300325</v>
      </c>
      <c r="C10" s="167">
        <v>740.31500000000005</v>
      </c>
      <c r="D10" s="168">
        <f>A10</f>
        <v>3.1657754351729989E-2</v>
      </c>
      <c r="E10" s="167">
        <v>3.1899999999999998E-2</v>
      </c>
      <c r="F10" s="167">
        <f t="shared" si="0"/>
        <v>739.91600988236394</v>
      </c>
      <c r="G10" s="167">
        <v>0.04</v>
      </c>
      <c r="H10" s="167">
        <v>10</v>
      </c>
      <c r="I10" s="5">
        <f t="shared" ref="I10:I13" si="11">I9+25</f>
        <v>300325</v>
      </c>
      <c r="J10" s="1">
        <f t="shared" si="1"/>
        <v>740.31600988236391</v>
      </c>
      <c r="K10" s="2">
        <f t="shared" si="2"/>
        <v>3.1657754351729989E-2</v>
      </c>
      <c r="L10" s="2">
        <f t="shared" si="7"/>
        <v>1.8314236909809552E-2</v>
      </c>
      <c r="M10" s="50">
        <v>16</v>
      </c>
      <c r="N10" s="1">
        <f t="shared" si="3"/>
        <v>740.82253395199155</v>
      </c>
      <c r="O10" s="1">
        <v>2.97</v>
      </c>
      <c r="P10" s="27">
        <f t="shared" ref="P10:P16" si="12">(R10-N10)/O10</f>
        <v>3.1369039733491637E-2</v>
      </c>
      <c r="Q10" s="175">
        <v>503792.77789999999</v>
      </c>
      <c r="R10" s="1">
        <v>740.91570000000002</v>
      </c>
      <c r="S10" s="12">
        <v>14.36</v>
      </c>
      <c r="T10" s="2">
        <f t="shared" si="8"/>
        <v>1.6E-2</v>
      </c>
      <c r="U10" s="2">
        <f t="shared" si="9"/>
        <v>2.5194963395848782E-2</v>
      </c>
      <c r="V10" s="1">
        <f t="shared" si="4"/>
        <v>741.14546000000007</v>
      </c>
      <c r="W10" s="12"/>
      <c r="X10" s="12"/>
      <c r="Y10" s="6"/>
      <c r="Z10" s="47"/>
      <c r="AA10" s="52">
        <f t="shared" si="5"/>
        <v>1.5369039733491636E-2</v>
      </c>
      <c r="AB10" s="53">
        <f t="shared" si="6"/>
        <v>2.8871461823835182E-4</v>
      </c>
      <c r="AC10" s="177"/>
      <c r="AD10" s="180"/>
      <c r="AE10" s="180"/>
      <c r="AF10" s="177"/>
    </row>
    <row r="11" spans="1:33" s="41" customFormat="1" x14ac:dyDescent="0.25">
      <c r="A11" s="42">
        <f t="shared" si="10"/>
        <v>3.9629413509095095E-2</v>
      </c>
      <c r="B11" s="163">
        <v>300350</v>
      </c>
      <c r="C11" s="167">
        <v>740.74300000000005</v>
      </c>
      <c r="D11" s="168">
        <f>A11</f>
        <v>3.9629413509095095E-2</v>
      </c>
      <c r="E11" s="167">
        <v>1.4500000000000001E-2</v>
      </c>
      <c r="F11" s="167">
        <f t="shared" si="0"/>
        <v>740.34357462649598</v>
      </c>
      <c r="G11" s="167">
        <v>0.04</v>
      </c>
      <c r="H11" s="167">
        <v>10</v>
      </c>
      <c r="I11" s="5">
        <f t="shared" si="11"/>
        <v>300350</v>
      </c>
      <c r="J11" s="1">
        <f t="shared" si="1"/>
        <v>740.74357462649596</v>
      </c>
      <c r="K11" s="2">
        <f t="shared" si="2"/>
        <v>3.9629413509095095E-2</v>
      </c>
      <c r="L11" s="2">
        <f t="shared" si="7"/>
        <v>1.7102589765281662E-2</v>
      </c>
      <c r="M11" s="50">
        <v>16</v>
      </c>
      <c r="N11" s="1">
        <f t="shared" si="3"/>
        <v>741.37764524264151</v>
      </c>
      <c r="O11" s="1">
        <v>4.43</v>
      </c>
      <c r="P11" s="27">
        <f t="shared" si="12"/>
        <v>3.9064279313431143E-2</v>
      </c>
      <c r="Q11" s="175">
        <v>503817.97730000003</v>
      </c>
      <c r="R11" s="1">
        <v>741.55070000000001</v>
      </c>
      <c r="S11" s="12">
        <v>14.73</v>
      </c>
      <c r="T11" s="2">
        <f t="shared" si="8"/>
        <v>1.6E-2</v>
      </c>
      <c r="U11" s="2">
        <f t="shared" si="9"/>
        <v>2.5199012674863248E-2</v>
      </c>
      <c r="V11" s="1">
        <f t="shared" si="4"/>
        <v>741.78638000000001</v>
      </c>
      <c r="W11" s="12"/>
      <c r="X11" s="12"/>
      <c r="Y11" s="6"/>
      <c r="Z11" s="47"/>
      <c r="AA11" s="52">
        <f t="shared" si="5"/>
        <v>2.3064279313431142E-2</v>
      </c>
      <c r="AB11" s="53">
        <f t="shared" si="6"/>
        <v>5.6513419566395218E-4</v>
      </c>
      <c r="AC11" s="177"/>
      <c r="AD11" s="180"/>
      <c r="AE11" s="180"/>
      <c r="AF11" s="177"/>
    </row>
    <row r="12" spans="1:33" s="41" customFormat="1" x14ac:dyDescent="0.25">
      <c r="A12" s="42">
        <f t="shared" si="10"/>
        <v>4.7600817573373609E-2</v>
      </c>
      <c r="B12" s="163">
        <v>300374.99920000002</v>
      </c>
      <c r="C12" s="167">
        <v>741.16899999999998</v>
      </c>
      <c r="D12" s="168">
        <f>A12</f>
        <v>4.7600817573373609E-2</v>
      </c>
      <c r="E12" s="167">
        <v>0.23910000000000001</v>
      </c>
      <c r="F12" s="167">
        <f t="shared" si="0"/>
        <v>740.70437317974813</v>
      </c>
      <c r="G12" s="168">
        <f>K12</f>
        <v>4.7600817573373609E-2</v>
      </c>
      <c r="H12" s="167">
        <v>10</v>
      </c>
      <c r="I12" s="5">
        <f t="shared" si="11"/>
        <v>300375</v>
      </c>
      <c r="J12" s="1">
        <f t="shared" si="1"/>
        <v>741.18038135548181</v>
      </c>
      <c r="K12" s="2">
        <f t="shared" si="2"/>
        <v>4.7600817573373609E-2</v>
      </c>
      <c r="L12" s="2">
        <f t="shared" si="7"/>
        <v>1.7472269159434291E-2</v>
      </c>
      <c r="M12" s="50">
        <v>16</v>
      </c>
      <c r="N12" s="1">
        <f t="shared" si="3"/>
        <v>741.94199443665582</v>
      </c>
      <c r="O12" s="1">
        <v>6.52</v>
      </c>
      <c r="P12" s="27">
        <f t="shared" si="12"/>
        <v>3.7531528120269185E-2</v>
      </c>
      <c r="Q12" s="175">
        <v>503843.22159999999</v>
      </c>
      <c r="R12" s="1">
        <v>742.18669999999997</v>
      </c>
      <c r="S12" s="12">
        <v>15.1</v>
      </c>
      <c r="T12" s="2">
        <f t="shared" si="8"/>
        <v>1.6E-2</v>
      </c>
      <c r="U12" s="2">
        <f t="shared" si="9"/>
        <v>2.5193806126568064E-2</v>
      </c>
      <c r="V12" s="1">
        <f t="shared" si="4"/>
        <v>742.42829999999992</v>
      </c>
      <c r="W12" s="12"/>
      <c r="X12" s="12"/>
      <c r="Y12" s="6"/>
      <c r="Z12" s="47"/>
      <c r="AA12" s="52">
        <f t="shared" si="5"/>
        <v>2.1531528120269185E-2</v>
      </c>
      <c r="AB12" s="53">
        <f t="shared" si="6"/>
        <v>1.0069289453104424E-2</v>
      </c>
      <c r="AC12" s="177"/>
      <c r="AD12" s="180"/>
      <c r="AE12" s="180"/>
      <c r="AF12" s="177"/>
    </row>
    <row r="13" spans="1:33" s="41" customFormat="1" x14ac:dyDescent="0.25">
      <c r="A13" s="42">
        <f t="shared" si="10"/>
        <v>5.5570117119627421E-2</v>
      </c>
      <c r="B13" s="163">
        <v>300399.99180000002</v>
      </c>
      <c r="C13" s="167">
        <v>741.54390000000001</v>
      </c>
      <c r="D13" s="168">
        <f t="shared" ref="D13" si="13">A13</f>
        <v>5.5570117119627421E-2</v>
      </c>
      <c r="E13" s="167">
        <v>0.74770000000000003</v>
      </c>
      <c r="F13" s="167">
        <f t="shared" si="0"/>
        <v>741.02974860537415</v>
      </c>
      <c r="G13" s="168">
        <f t="shared" ref="G13:G17" si="14">K13</f>
        <v>5.5570117119627421E-2</v>
      </c>
      <c r="H13" s="167">
        <v>10</v>
      </c>
      <c r="I13" s="5">
        <f t="shared" si="11"/>
        <v>300400</v>
      </c>
      <c r="J13" s="2">
        <f t="shared" si="1"/>
        <v>741.58544977657039</v>
      </c>
      <c r="K13" s="2">
        <f t="shared" si="2"/>
        <v>5.5570117119627421E-2</v>
      </c>
      <c r="L13" s="2">
        <f t="shared" si="7"/>
        <v>1.620273684354288E-2</v>
      </c>
      <c r="M13" s="50">
        <v>16</v>
      </c>
      <c r="N13" s="1">
        <f t="shared" si="3"/>
        <v>742.47457165048445</v>
      </c>
      <c r="O13" s="1">
        <v>9.5</v>
      </c>
      <c r="P13" s="27">
        <f t="shared" si="12"/>
        <v>3.6676668370055746E-2</v>
      </c>
      <c r="Q13" s="175">
        <v>503868.46789999999</v>
      </c>
      <c r="R13" s="1">
        <v>742.82299999999998</v>
      </c>
      <c r="S13" s="12">
        <v>15.46</v>
      </c>
      <c r="T13" s="2">
        <f t="shared" si="8"/>
        <v>1.6E-2</v>
      </c>
      <c r="U13" s="2">
        <f t="shared" si="9"/>
        <v>2.5203693214452566E-2</v>
      </c>
      <c r="V13" s="1">
        <f t="shared" si="4"/>
        <v>743.07035999999994</v>
      </c>
      <c r="W13" s="12"/>
      <c r="X13" s="12"/>
      <c r="Y13" s="6"/>
      <c r="Z13" s="47"/>
      <c r="AA13" s="52">
        <f t="shared" si="5"/>
        <v>2.0676668370055745E-2</v>
      </c>
      <c r="AB13" s="53">
        <f t="shared" si="6"/>
        <v>1.8893448749571676E-2</v>
      </c>
      <c r="AC13" s="177"/>
      <c r="AD13" s="180"/>
      <c r="AE13" s="180"/>
      <c r="AF13" s="177"/>
    </row>
    <row r="14" spans="1:33" s="41" customFormat="1" x14ac:dyDescent="0.25">
      <c r="A14" s="42">
        <f t="shared" si="10"/>
        <v>5.9999999999999991E-2</v>
      </c>
      <c r="B14" s="163">
        <v>300413.88439999998</v>
      </c>
      <c r="C14" s="167">
        <v>741.75229999999999</v>
      </c>
      <c r="D14" s="168">
        <v>0.06</v>
      </c>
      <c r="E14" s="167">
        <v>1.1935</v>
      </c>
      <c r="F14" s="167">
        <f t="shared" si="0"/>
        <v>741.22390999999993</v>
      </c>
      <c r="G14" s="168">
        <f t="shared" si="14"/>
        <v>0.06</v>
      </c>
      <c r="H14" s="167">
        <v>10</v>
      </c>
      <c r="I14" s="5">
        <v>300413.88</v>
      </c>
      <c r="J14" s="2">
        <f t="shared" si="1"/>
        <v>741.82390999999996</v>
      </c>
      <c r="K14" s="2">
        <f t="shared" si="2"/>
        <v>0.06</v>
      </c>
      <c r="L14" s="2">
        <f t="shared" si="7"/>
        <v>1.7180131371000711E-2</v>
      </c>
      <c r="M14" s="50">
        <v>16</v>
      </c>
      <c r="N14" s="1">
        <f t="shared" si="3"/>
        <v>742.78390999999999</v>
      </c>
      <c r="O14" s="1">
        <v>11.73</v>
      </c>
      <c r="P14" s="27">
        <f t="shared" si="12"/>
        <v>3.4670929241263936E-2</v>
      </c>
      <c r="Q14" s="175">
        <v>503883.06020000001</v>
      </c>
      <c r="R14" s="1">
        <v>743.19060000000002</v>
      </c>
      <c r="S14" s="12">
        <v>15.67</v>
      </c>
      <c r="T14" s="2">
        <f t="shared" si="8"/>
        <v>1.6E-2</v>
      </c>
      <c r="U14" s="2">
        <f t="shared" si="9"/>
        <v>2.5191368050243898E-2</v>
      </c>
      <c r="V14" s="1">
        <f t="shared" si="4"/>
        <v>743.44132000000002</v>
      </c>
      <c r="W14" s="12"/>
      <c r="X14" s="12"/>
      <c r="Y14" s="6"/>
      <c r="Z14" s="47"/>
      <c r="AA14" s="52">
        <f t="shared" si="5"/>
        <v>1.8670929241263935E-2</v>
      </c>
      <c r="AB14" s="53">
        <f t="shared" si="6"/>
        <v>2.5329070758736062E-2</v>
      </c>
      <c r="AC14" s="177"/>
      <c r="AD14" s="180"/>
      <c r="AE14" s="180"/>
      <c r="AF14" s="177"/>
    </row>
    <row r="15" spans="1:33" s="41" customFormat="1" x14ac:dyDescent="0.25">
      <c r="A15" s="42">
        <f>A14</f>
        <v>5.9999999999999991E-2</v>
      </c>
      <c r="B15" s="163">
        <v>300424.96950000001</v>
      </c>
      <c r="C15" s="167">
        <v>741.91800000000001</v>
      </c>
      <c r="D15" s="168">
        <f>D14</f>
        <v>0.06</v>
      </c>
      <c r="E15" s="167">
        <v>1.6407</v>
      </c>
      <c r="F15" s="167">
        <f t="shared" si="0"/>
        <v>741.41644199999996</v>
      </c>
      <c r="G15" s="168">
        <f t="shared" si="14"/>
        <v>0.06</v>
      </c>
      <c r="H15" s="167">
        <v>10</v>
      </c>
      <c r="I15" s="5">
        <v>300425</v>
      </c>
      <c r="J15" s="2">
        <f t="shared" si="1"/>
        <v>742.01644199999998</v>
      </c>
      <c r="K15" s="2">
        <f t="shared" si="2"/>
        <v>0.06</v>
      </c>
      <c r="L15" s="2">
        <f t="shared" si="7"/>
        <v>1.7314028776988215E-2</v>
      </c>
      <c r="M15" s="50">
        <v>16</v>
      </c>
      <c r="N15" s="1">
        <f t="shared" si="3"/>
        <v>742.97644200000002</v>
      </c>
      <c r="O15" s="1">
        <v>13.62</v>
      </c>
      <c r="P15" s="27">
        <f t="shared" si="12"/>
        <v>3.5275917767988163E-2</v>
      </c>
      <c r="Q15" s="175">
        <v>503893.6347</v>
      </c>
      <c r="R15" s="1">
        <v>743.45690000000002</v>
      </c>
      <c r="S15" s="12">
        <v>15.83</v>
      </c>
      <c r="T15" s="2">
        <f t="shared" si="8"/>
        <v>1.6E-2</v>
      </c>
      <c r="U15" s="2">
        <f t="shared" si="9"/>
        <v>2.5183223793116081E-2</v>
      </c>
      <c r="V15" s="1">
        <f t="shared" si="4"/>
        <v>743.71018000000004</v>
      </c>
      <c r="W15" s="12"/>
      <c r="X15" s="12"/>
      <c r="Y15" s="6"/>
      <c r="Z15" s="47"/>
      <c r="AA15" s="52">
        <f t="shared" si="5"/>
        <v>1.9275917767988163E-2</v>
      </c>
      <c r="AB15" s="53">
        <f t="shared" si="6"/>
        <v>2.4724082232011835E-2</v>
      </c>
      <c r="AC15" s="177"/>
      <c r="AD15" s="180"/>
      <c r="AE15" s="180"/>
      <c r="AF15" s="177"/>
    </row>
    <row r="16" spans="1:33" s="41" customFormat="1" x14ac:dyDescent="0.25">
      <c r="A16" s="42">
        <f>A15</f>
        <v>5.9999999999999991E-2</v>
      </c>
      <c r="B16" s="163">
        <v>300436.72480000003</v>
      </c>
      <c r="C16" s="167">
        <v>742.08</v>
      </c>
      <c r="D16" s="168">
        <f>A16</f>
        <v>5.9999999999999991E-2</v>
      </c>
      <c r="E16" s="167">
        <v>2.2008999999999999</v>
      </c>
      <c r="F16" s="167">
        <f t="shared" si="0"/>
        <v>741.61205400000006</v>
      </c>
      <c r="G16" s="168">
        <f t="shared" si="14"/>
        <v>5.9999999999999991E-2</v>
      </c>
      <c r="H16" s="167">
        <v>10</v>
      </c>
      <c r="I16" s="5">
        <v>300436.7758</v>
      </c>
      <c r="J16" s="2">
        <f t="shared" si="1"/>
        <v>742.21205400000008</v>
      </c>
      <c r="K16" s="2">
        <f t="shared" si="2"/>
        <v>5.9999999999999991E-2</v>
      </c>
      <c r="L16" s="230">
        <f t="shared" si="7"/>
        <v>1.6611355491775118E-2</v>
      </c>
      <c r="M16" s="50">
        <v>16</v>
      </c>
      <c r="N16" s="1">
        <f t="shared" si="3"/>
        <v>743.17205400000012</v>
      </c>
      <c r="O16" s="1">
        <v>16</v>
      </c>
      <c r="P16" s="27">
        <f t="shared" si="12"/>
        <v>3.6390374999989206E-2</v>
      </c>
      <c r="Q16" s="175">
        <v>503905.43280000001</v>
      </c>
      <c r="R16" s="1">
        <v>743.75429999999994</v>
      </c>
      <c r="S16" s="12">
        <v>16</v>
      </c>
      <c r="T16" s="2">
        <f t="shared" si="8"/>
        <v>1.6E-2</v>
      </c>
      <c r="U16" s="2">
        <f t="shared" si="9"/>
        <v>2.5207448656949748E-2</v>
      </c>
      <c r="V16" s="1">
        <f t="shared" si="4"/>
        <v>744.01029999999992</v>
      </c>
      <c r="W16" s="12"/>
      <c r="X16" s="12"/>
      <c r="Y16" s="6"/>
      <c r="Z16" s="47"/>
      <c r="AA16" s="52">
        <f t="shared" si="5"/>
        <v>2.0390374999989205E-2</v>
      </c>
      <c r="AB16" s="53">
        <f t="shared" si="6"/>
        <v>2.3609625000010785E-2</v>
      </c>
      <c r="AC16" s="177"/>
      <c r="AD16" s="180"/>
      <c r="AE16" s="180"/>
      <c r="AF16" s="177"/>
    </row>
    <row r="17" spans="1:32" s="41" customFormat="1" x14ac:dyDescent="0.25">
      <c r="A17" s="42">
        <f>A15</f>
        <v>5.9999999999999991E-2</v>
      </c>
      <c r="B17" s="210">
        <v>300438.82880000002</v>
      </c>
      <c r="C17" s="211">
        <v>742.10619999999994</v>
      </c>
      <c r="D17" s="212">
        <f>D15</f>
        <v>0.06</v>
      </c>
      <c r="E17" s="211">
        <v>2.3054999999999999</v>
      </c>
      <c r="F17" s="167">
        <f t="shared" si="0"/>
        <v>741.64452999999992</v>
      </c>
      <c r="G17" s="168">
        <f t="shared" si="14"/>
        <v>0.06</v>
      </c>
      <c r="H17" s="167">
        <v>10</v>
      </c>
      <c r="I17" s="227">
        <v>300438.88</v>
      </c>
      <c r="J17" s="228">
        <f t="shared" si="1"/>
        <v>742.24452999999994</v>
      </c>
      <c r="K17" s="228">
        <f t="shared" si="2"/>
        <v>0.06</v>
      </c>
      <c r="L17" s="228">
        <f>(((J17-J16)/(I17-I16)))</f>
        <v>1.5433894116450941E-2</v>
      </c>
      <c r="M17" s="226">
        <v>16</v>
      </c>
      <c r="N17" s="226">
        <f t="shared" si="3"/>
        <v>743.20452999999998</v>
      </c>
      <c r="O17" s="88"/>
      <c r="P17" s="88"/>
      <c r="Q17" s="213"/>
      <c r="R17" s="88"/>
      <c r="S17" s="50"/>
      <c r="T17" s="51"/>
      <c r="U17" s="51"/>
      <c r="V17" s="88"/>
      <c r="W17" s="50"/>
      <c r="X17" s="50"/>
      <c r="Y17" s="214"/>
      <c r="Z17" s="215"/>
      <c r="AA17" s="52"/>
      <c r="AB17" s="53"/>
      <c r="AC17" s="177"/>
      <c r="AD17" s="180"/>
      <c r="AE17" s="180"/>
      <c r="AF17" s="177"/>
    </row>
    <row r="18" spans="1:32" s="41" customFormat="1" x14ac:dyDescent="0.25">
      <c r="B18" s="94"/>
      <c r="C18" s="189"/>
      <c r="D18" s="190"/>
      <c r="E18" s="189"/>
      <c r="F18" s="291"/>
      <c r="G18" s="291"/>
      <c r="H18" s="291"/>
      <c r="I18" s="231">
        <f>I17</f>
        <v>300438.88</v>
      </c>
      <c r="J18" s="186">
        <v>742.25</v>
      </c>
      <c r="K18" s="232">
        <f>K17</f>
        <v>0.06</v>
      </c>
      <c r="L18" s="233">
        <f>L16</f>
        <v>1.6611355491775118E-2</v>
      </c>
      <c r="M18" s="179"/>
      <c r="N18" s="1"/>
      <c r="O18" s="1"/>
      <c r="P18" s="1"/>
      <c r="Q18" s="175"/>
      <c r="R18" s="1"/>
      <c r="S18" s="12"/>
      <c r="T18" s="2"/>
      <c r="U18" s="2"/>
      <c r="V18" s="1"/>
      <c r="W18" s="12"/>
      <c r="X18" s="12"/>
      <c r="Y18" s="6"/>
      <c r="Z18" s="47"/>
      <c r="AA18" s="52"/>
      <c r="AB18" s="53"/>
      <c r="AC18" s="177"/>
      <c r="AD18" s="177"/>
      <c r="AE18" s="177"/>
      <c r="AF18" s="177"/>
    </row>
    <row r="19" spans="1:32" s="41" customFormat="1" ht="15.75" thickBot="1" x14ac:dyDescent="0.3">
      <c r="B19" s="95"/>
      <c r="C19" s="191"/>
      <c r="D19" s="192"/>
      <c r="E19" s="191"/>
      <c r="F19" s="292"/>
      <c r="G19" s="292"/>
      <c r="H19" s="292"/>
      <c r="I19" s="201"/>
      <c r="J19" s="202"/>
      <c r="K19" s="203"/>
      <c r="L19" s="203"/>
      <c r="M19" s="229"/>
      <c r="N19" s="202"/>
      <c r="O19" s="202"/>
      <c r="P19" s="202"/>
      <c r="Q19" s="204"/>
      <c r="R19" s="202"/>
      <c r="S19" s="205"/>
      <c r="T19" s="203"/>
      <c r="U19" s="203"/>
      <c r="V19" s="202"/>
      <c r="W19" s="205"/>
      <c r="X19" s="205"/>
      <c r="Y19" s="206"/>
      <c r="Z19" s="207"/>
      <c r="AA19" s="208"/>
      <c r="AB19" s="209"/>
      <c r="AC19" s="181"/>
      <c r="AD19" s="177"/>
      <c r="AE19" s="177"/>
      <c r="AF19" s="177"/>
    </row>
    <row r="20" spans="1:32" s="177" customFormat="1" x14ac:dyDescent="0.25">
      <c r="E20" s="178"/>
      <c r="F20" s="178"/>
      <c r="G20" s="178"/>
      <c r="H20" s="178"/>
      <c r="I20" s="193"/>
      <c r="J20" s="194"/>
      <c r="K20" s="195"/>
      <c r="L20" s="195"/>
      <c r="M20" s="196"/>
      <c r="N20" s="194"/>
      <c r="O20" s="194"/>
      <c r="P20" s="194"/>
      <c r="Q20" s="197"/>
      <c r="R20" s="194"/>
      <c r="S20" s="196"/>
      <c r="T20" s="195"/>
      <c r="U20" s="195"/>
      <c r="V20" s="194"/>
      <c r="W20" s="196"/>
      <c r="X20" s="196"/>
      <c r="Y20" s="194"/>
      <c r="Z20" s="196"/>
      <c r="AA20" s="198"/>
      <c r="AB20" s="198"/>
    </row>
    <row r="21" spans="1:32" s="177" customFormat="1" x14ac:dyDescent="0.25">
      <c r="B21" s="181">
        <v>300449.91999999998</v>
      </c>
      <c r="C21" s="182">
        <v>742.23</v>
      </c>
      <c r="D21" s="177">
        <v>0.06</v>
      </c>
      <c r="E21" s="178">
        <v>2.92</v>
      </c>
      <c r="F21" s="178"/>
      <c r="G21" s="178"/>
      <c r="H21" s="178"/>
      <c r="I21" s="236">
        <v>300450</v>
      </c>
      <c r="J21" s="235">
        <f>C21+(D21*E21)</f>
        <v>742.40520000000004</v>
      </c>
      <c r="K21" s="195"/>
      <c r="L21" s="195"/>
      <c r="M21" s="196"/>
      <c r="N21" s="194"/>
      <c r="O21" s="194"/>
      <c r="P21" s="194"/>
      <c r="Q21" s="197"/>
      <c r="R21" s="194"/>
      <c r="S21" s="196"/>
      <c r="T21" s="195"/>
      <c r="U21" s="195"/>
      <c r="V21" s="194"/>
      <c r="W21" s="196"/>
      <c r="X21" s="196"/>
      <c r="Y21" s="194"/>
      <c r="Z21" s="196"/>
      <c r="AA21" s="198"/>
      <c r="AB21" s="198"/>
      <c r="AD21" s="180"/>
    </row>
    <row r="22" spans="1:32" s="177" customFormat="1" x14ac:dyDescent="0.25">
      <c r="B22" s="181">
        <v>300474.82059999998</v>
      </c>
      <c r="C22" s="182">
        <v>742.4</v>
      </c>
      <c r="D22" s="177">
        <f>D21</f>
        <v>0.06</v>
      </c>
      <c r="E22" s="178">
        <v>4.4800000000000004</v>
      </c>
      <c r="F22" s="178"/>
      <c r="G22" s="178"/>
      <c r="H22" s="178"/>
      <c r="I22" s="236">
        <f>I21+25</f>
        <v>300475</v>
      </c>
      <c r="J22" s="235">
        <f t="shared" ref="J22:J30" si="15">C22+(D22*E22)</f>
        <v>742.66880000000003</v>
      </c>
      <c r="K22" s="195"/>
      <c r="L22" s="195"/>
      <c r="M22" s="196"/>
      <c r="N22" s="194"/>
      <c r="O22" s="194"/>
      <c r="P22" s="194"/>
      <c r="Q22" s="197"/>
      <c r="R22" s="194"/>
      <c r="S22" s="196"/>
      <c r="T22" s="195"/>
      <c r="U22" s="195"/>
      <c r="V22" s="194"/>
      <c r="W22" s="196"/>
      <c r="X22" s="196"/>
      <c r="Y22" s="194"/>
      <c r="Z22" s="196"/>
      <c r="AA22" s="198"/>
      <c r="AB22" s="198"/>
      <c r="AD22" s="180"/>
    </row>
    <row r="23" spans="1:32" s="177" customFormat="1" x14ac:dyDescent="0.25">
      <c r="B23" s="181">
        <v>300499.67869999999</v>
      </c>
      <c r="C23" s="182">
        <v>742.44759999999997</v>
      </c>
      <c r="D23" s="177">
        <f t="shared" ref="D23:D29" si="16">D22</f>
        <v>0.06</v>
      </c>
      <c r="E23" s="178">
        <v>6.33</v>
      </c>
      <c r="F23" s="178"/>
      <c r="G23" s="178"/>
      <c r="H23" s="178"/>
      <c r="I23" s="236">
        <f t="shared" ref="I23:I30" si="17">I22+25</f>
        <v>300500</v>
      </c>
      <c r="J23" s="235">
        <f t="shared" si="15"/>
        <v>742.82740000000001</v>
      </c>
      <c r="K23" s="195"/>
      <c r="L23" s="195"/>
      <c r="M23" s="196"/>
      <c r="N23" s="194"/>
      <c r="O23" s="194"/>
      <c r="P23" s="194"/>
      <c r="Q23" s="197"/>
      <c r="R23" s="194"/>
      <c r="S23" s="196"/>
      <c r="T23" s="195"/>
      <c r="U23" s="195"/>
      <c r="V23" s="194"/>
      <c r="W23" s="196"/>
      <c r="X23" s="196"/>
      <c r="Y23" s="194"/>
      <c r="Z23" s="196"/>
      <c r="AA23" s="198"/>
      <c r="AB23" s="198"/>
      <c r="AD23" s="180"/>
    </row>
    <row r="24" spans="1:32" s="177" customFormat="1" x14ac:dyDescent="0.25">
      <c r="B24" s="181">
        <v>300523.71620000002</v>
      </c>
      <c r="C24" s="182">
        <v>742.36609999999996</v>
      </c>
      <c r="D24" s="177">
        <f t="shared" si="16"/>
        <v>0.06</v>
      </c>
      <c r="E24" s="178">
        <v>8.43</v>
      </c>
      <c r="F24" s="178"/>
      <c r="G24" s="178"/>
      <c r="H24" s="178"/>
      <c r="I24" s="236">
        <f t="shared" si="17"/>
        <v>300525</v>
      </c>
      <c r="J24" s="235">
        <f t="shared" si="15"/>
        <v>742.87189999999998</v>
      </c>
      <c r="K24" s="195"/>
      <c r="L24" s="195"/>
      <c r="M24" s="196"/>
      <c r="N24" s="194"/>
      <c r="O24" s="194"/>
      <c r="P24" s="194"/>
      <c r="Q24" s="197"/>
      <c r="R24" s="194"/>
      <c r="S24" s="196"/>
      <c r="T24" s="195"/>
      <c r="U24" s="195"/>
      <c r="V24" s="194"/>
      <c r="W24" s="196"/>
      <c r="X24" s="196"/>
      <c r="Y24" s="194"/>
      <c r="Z24" s="196"/>
      <c r="AA24" s="198"/>
      <c r="AB24" s="198"/>
      <c r="AD24" s="180"/>
    </row>
    <row r="25" spans="1:32" s="177" customFormat="1" x14ac:dyDescent="0.25">
      <c r="B25" s="181">
        <v>300548.12040000001</v>
      </c>
      <c r="C25" s="182">
        <v>742.15800000000002</v>
      </c>
      <c r="D25" s="177">
        <f t="shared" si="16"/>
        <v>0.06</v>
      </c>
      <c r="E25" s="178">
        <v>10.83</v>
      </c>
      <c r="F25" s="178"/>
      <c r="G25" s="178"/>
      <c r="H25" s="178"/>
      <c r="I25" s="236">
        <f t="shared" si="17"/>
        <v>300550</v>
      </c>
      <c r="J25" s="235">
        <f t="shared" si="15"/>
        <v>742.80780000000004</v>
      </c>
      <c r="K25" s="195"/>
      <c r="L25" s="195"/>
      <c r="M25" s="196"/>
      <c r="N25" s="194"/>
      <c r="O25" s="194"/>
      <c r="P25" s="194"/>
      <c r="Q25" s="197"/>
      <c r="R25" s="194"/>
      <c r="S25" s="196"/>
      <c r="T25" s="195"/>
      <c r="U25" s="195"/>
      <c r="V25" s="194"/>
      <c r="W25" s="196"/>
      <c r="X25" s="196"/>
      <c r="Y25" s="194"/>
      <c r="Z25" s="196"/>
      <c r="AA25" s="198"/>
      <c r="AB25" s="198"/>
      <c r="AD25" s="180"/>
    </row>
    <row r="26" spans="1:32" s="177" customFormat="1" x14ac:dyDescent="0.25">
      <c r="B26" s="181">
        <v>300572.375</v>
      </c>
      <c r="C26" s="182">
        <v>741.82600000000002</v>
      </c>
      <c r="D26" s="177">
        <f t="shared" si="16"/>
        <v>0.06</v>
      </c>
      <c r="E26" s="178">
        <v>13.49</v>
      </c>
      <c r="F26" s="178"/>
      <c r="G26" s="178"/>
      <c r="H26" s="178"/>
      <c r="I26" s="236">
        <f t="shared" si="17"/>
        <v>300575</v>
      </c>
      <c r="J26" s="235">
        <f t="shared" si="15"/>
        <v>742.6354</v>
      </c>
      <c r="K26" s="195"/>
      <c r="L26" s="195"/>
      <c r="M26" s="196"/>
      <c r="N26" s="194"/>
      <c r="O26" s="194"/>
      <c r="P26" s="194"/>
      <c r="Q26" s="197"/>
      <c r="R26" s="194"/>
      <c r="S26" s="196"/>
      <c r="T26" s="195"/>
      <c r="U26" s="195"/>
      <c r="V26" s="194"/>
      <c r="W26" s="196"/>
      <c r="X26" s="196"/>
      <c r="Y26" s="194"/>
      <c r="Z26" s="196"/>
      <c r="AA26" s="198"/>
      <c r="AB26" s="198"/>
      <c r="AD26" s="180"/>
    </row>
    <row r="27" spans="1:32" s="177" customFormat="1" x14ac:dyDescent="0.25">
      <c r="B27" s="234">
        <v>300593.28960000002</v>
      </c>
      <c r="C27" s="182">
        <v>741.4393</v>
      </c>
      <c r="D27" s="177">
        <f t="shared" si="16"/>
        <v>0.06</v>
      </c>
      <c r="E27" s="178">
        <v>16</v>
      </c>
      <c r="F27" s="178"/>
      <c r="G27" s="178"/>
      <c r="H27" s="178"/>
      <c r="I27" s="236">
        <v>300596.69260000001</v>
      </c>
      <c r="J27" s="235">
        <f t="shared" si="15"/>
        <v>742.39930000000004</v>
      </c>
      <c r="K27" s="195"/>
      <c r="L27" s="195"/>
      <c r="M27" s="196"/>
      <c r="N27" s="194"/>
      <c r="O27" s="194"/>
      <c r="P27" s="194"/>
      <c r="Q27" s="197"/>
      <c r="R27" s="194"/>
      <c r="S27" s="196"/>
      <c r="T27" s="195"/>
      <c r="U27" s="195"/>
      <c r="V27" s="194"/>
      <c r="W27" s="196"/>
      <c r="X27" s="196"/>
      <c r="Y27" s="194"/>
      <c r="Z27" s="196"/>
      <c r="AA27" s="198"/>
      <c r="AB27" s="198"/>
      <c r="AD27" s="180"/>
    </row>
    <row r="28" spans="1:32" s="177" customFormat="1" x14ac:dyDescent="0.25">
      <c r="B28" s="234">
        <v>300623.54790000001</v>
      </c>
      <c r="C28" s="182">
        <v>740.71590000000003</v>
      </c>
      <c r="D28" s="177">
        <f t="shared" si="16"/>
        <v>0.06</v>
      </c>
      <c r="E28" s="178">
        <v>16</v>
      </c>
      <c r="F28" s="178"/>
      <c r="G28" s="178"/>
      <c r="H28" s="178"/>
      <c r="I28" s="236">
        <v>300628.3198</v>
      </c>
      <c r="J28" s="198">
        <f t="shared" si="15"/>
        <v>741.67590000000007</v>
      </c>
      <c r="K28" s="195">
        <v>0.01</v>
      </c>
      <c r="L28" s="195">
        <v>4</v>
      </c>
      <c r="M28" s="235">
        <f>J28-(K28*L28)</f>
        <v>741.63590000000011</v>
      </c>
      <c r="N28" s="194"/>
      <c r="Q28" s="197"/>
      <c r="R28" s="194"/>
      <c r="S28" s="196"/>
      <c r="T28" s="195"/>
      <c r="U28" s="195"/>
      <c r="V28" s="194"/>
      <c r="W28" s="196"/>
      <c r="X28" s="196"/>
      <c r="Y28" s="194"/>
      <c r="Z28" s="196"/>
      <c r="AA28" s="198"/>
      <c r="AB28" s="198"/>
      <c r="AD28" s="180"/>
    </row>
    <row r="29" spans="1:32" s="177" customFormat="1" x14ac:dyDescent="0.25">
      <c r="B29" s="181">
        <v>300644.11930000002</v>
      </c>
      <c r="C29" s="182">
        <v>740.12189999999998</v>
      </c>
      <c r="D29" s="177">
        <f t="shared" si="16"/>
        <v>0.06</v>
      </c>
      <c r="E29" s="178">
        <v>16</v>
      </c>
      <c r="F29" s="178"/>
      <c r="G29" s="178"/>
      <c r="H29" s="178"/>
      <c r="I29" s="236">
        <v>300650</v>
      </c>
      <c r="J29" s="198">
        <f t="shared" si="15"/>
        <v>741.08190000000002</v>
      </c>
      <c r="K29" s="195">
        <v>0.01</v>
      </c>
      <c r="L29" s="195">
        <v>4</v>
      </c>
      <c r="M29" s="198">
        <f>J29-(K29*L29)</f>
        <v>741.04190000000006</v>
      </c>
      <c r="N29" s="194"/>
      <c r="O29" s="194">
        <v>7.07</v>
      </c>
      <c r="P29" s="194">
        <v>0.08</v>
      </c>
      <c r="Q29" s="235">
        <f>M28-(O29*P29)</f>
        <v>741.07030000000009</v>
      </c>
      <c r="R29" s="194"/>
      <c r="S29" s="196"/>
      <c r="T29" s="195"/>
      <c r="U29" s="195"/>
      <c r="V29" s="194"/>
      <c r="W29" s="196"/>
      <c r="X29" s="196"/>
      <c r="Y29" s="194"/>
      <c r="Z29" s="196"/>
      <c r="AA29" s="198"/>
      <c r="AB29" s="198"/>
      <c r="AC29" s="181"/>
      <c r="AD29" s="180"/>
    </row>
    <row r="30" spans="1:32" s="177" customFormat="1" ht="14.25" customHeight="1" x14ac:dyDescent="0.25">
      <c r="B30" s="181">
        <v>300667.65960000001</v>
      </c>
      <c r="C30" s="182">
        <v>739.42629999999997</v>
      </c>
      <c r="D30" s="177">
        <f>D28</f>
        <v>0.06</v>
      </c>
      <c r="E30" s="178">
        <f>E28</f>
        <v>16</v>
      </c>
      <c r="F30" s="178"/>
      <c r="G30" s="178"/>
      <c r="H30" s="178"/>
      <c r="I30" s="199">
        <f t="shared" si="17"/>
        <v>300675</v>
      </c>
      <c r="J30" s="198">
        <f t="shared" si="15"/>
        <v>740.38630000000001</v>
      </c>
      <c r="K30" s="195">
        <v>0.01</v>
      </c>
      <c r="L30" s="195">
        <v>4</v>
      </c>
      <c r="M30" s="198">
        <f t="shared" ref="M30" si="18">J30-(K30*L30)</f>
        <v>740.34630000000004</v>
      </c>
      <c r="N30" s="194"/>
      <c r="O30" s="194">
        <v>6.5890000000000004</v>
      </c>
      <c r="P30" s="194">
        <v>0.08</v>
      </c>
      <c r="Q30" s="235">
        <f t="shared" ref="Q30" si="19">M29-(O30*P30)</f>
        <v>740.51478000000009</v>
      </c>
      <c r="R30" s="194"/>
      <c r="S30" s="196"/>
      <c r="T30" s="195"/>
      <c r="U30" s="195"/>
      <c r="V30" s="194"/>
      <c r="W30" s="196"/>
      <c r="X30" s="196"/>
      <c r="Y30" s="194"/>
      <c r="Z30" s="196"/>
      <c r="AA30" s="198"/>
      <c r="AB30" s="198"/>
      <c r="AD30" s="180"/>
    </row>
    <row r="31" spans="1:32" s="177" customFormat="1" x14ac:dyDescent="0.25">
      <c r="B31" s="181"/>
      <c r="C31" s="182"/>
      <c r="E31" s="178"/>
      <c r="F31" s="178"/>
      <c r="G31" s="178"/>
      <c r="H31" s="178"/>
      <c r="I31" s="199"/>
      <c r="J31" s="198"/>
      <c r="K31" s="195"/>
      <c r="L31" s="195"/>
      <c r="M31" s="198"/>
      <c r="N31" s="194"/>
      <c r="O31" s="194"/>
      <c r="P31" s="194"/>
      <c r="Q31" s="235"/>
      <c r="R31" s="194"/>
      <c r="S31" s="196"/>
      <c r="T31" s="195"/>
      <c r="U31" s="195"/>
      <c r="V31" s="194"/>
      <c r="W31" s="196"/>
      <c r="X31" s="196"/>
      <c r="Y31" s="194"/>
      <c r="Z31" s="196"/>
      <c r="AA31" s="198"/>
      <c r="AB31" s="198"/>
      <c r="AE31" s="180"/>
    </row>
    <row r="32" spans="1:32" s="177" customFormat="1" x14ac:dyDescent="0.25">
      <c r="E32" s="178"/>
      <c r="F32" s="178"/>
      <c r="G32" s="178"/>
      <c r="H32" s="178"/>
      <c r="I32" s="199"/>
      <c r="J32" s="194"/>
      <c r="K32" s="195"/>
      <c r="L32" s="195"/>
      <c r="M32" s="196"/>
      <c r="N32" s="194"/>
      <c r="O32" s="194"/>
      <c r="P32" s="194"/>
      <c r="Q32" s="197"/>
      <c r="R32" s="194"/>
      <c r="S32" s="196"/>
      <c r="T32" s="195"/>
      <c r="U32" s="195"/>
      <c r="V32" s="194"/>
      <c r="W32" s="196"/>
      <c r="X32" s="196"/>
      <c r="Y32" s="194"/>
      <c r="Z32" s="196"/>
      <c r="AA32" s="198"/>
      <c r="AB32" s="198"/>
      <c r="AE32" s="180"/>
    </row>
    <row r="33" spans="5:32" s="177" customFormat="1" x14ac:dyDescent="0.25">
      <c r="E33" s="178"/>
      <c r="F33" s="178"/>
      <c r="G33" s="178"/>
      <c r="H33" s="178"/>
      <c r="I33" s="199"/>
      <c r="J33" s="194"/>
      <c r="K33" s="195"/>
      <c r="L33" s="195"/>
      <c r="M33" s="196"/>
      <c r="N33" s="194"/>
      <c r="O33" s="194"/>
      <c r="P33" s="194"/>
      <c r="Q33" s="197"/>
      <c r="R33" s="194"/>
      <c r="S33" s="196"/>
      <c r="T33" s="195"/>
      <c r="U33" s="195"/>
      <c r="V33" s="194"/>
      <c r="W33" s="196"/>
      <c r="X33" s="196"/>
      <c r="Y33" s="194"/>
      <c r="Z33" s="196"/>
      <c r="AA33" s="198"/>
      <c r="AB33" s="198"/>
      <c r="AE33" s="180"/>
    </row>
    <row r="34" spans="5:32" s="177" customFormat="1" ht="15.75" customHeight="1" x14ac:dyDescent="0.25">
      <c r="E34" s="178"/>
      <c r="F34" s="178"/>
      <c r="G34" s="178"/>
      <c r="H34" s="178"/>
      <c r="I34" s="199"/>
      <c r="J34" s="194"/>
      <c r="K34" s="195"/>
      <c r="L34" s="195"/>
      <c r="M34" s="196"/>
      <c r="N34" s="194"/>
      <c r="O34" s="194"/>
      <c r="P34" s="194"/>
      <c r="Q34" s="197"/>
      <c r="R34" s="194"/>
      <c r="S34" s="196"/>
      <c r="T34" s="195"/>
      <c r="U34" s="195"/>
      <c r="V34" s="194"/>
      <c r="W34" s="196"/>
      <c r="X34" s="196"/>
      <c r="Y34" s="194"/>
      <c r="Z34" s="196"/>
      <c r="AA34" s="198"/>
      <c r="AB34" s="198"/>
      <c r="AE34" s="180"/>
    </row>
    <row r="35" spans="5:32" s="177" customFormat="1" x14ac:dyDescent="0.25">
      <c r="E35" s="178"/>
      <c r="F35" s="178"/>
      <c r="G35" s="178"/>
      <c r="H35" s="178"/>
      <c r="I35" s="199"/>
      <c r="J35" s="194"/>
      <c r="K35" s="195"/>
      <c r="L35" s="195"/>
      <c r="M35" s="196"/>
      <c r="N35" s="194"/>
      <c r="O35" s="194"/>
      <c r="P35" s="194"/>
      <c r="Q35" s="197"/>
      <c r="R35" s="194"/>
      <c r="S35" s="196"/>
      <c r="T35" s="195"/>
      <c r="U35" s="195"/>
      <c r="V35" s="194"/>
      <c r="W35" s="196"/>
      <c r="X35" s="196"/>
      <c r="Y35" s="194"/>
      <c r="Z35" s="196"/>
      <c r="AA35" s="198"/>
      <c r="AB35" s="198"/>
      <c r="AE35" s="180"/>
    </row>
    <row r="36" spans="5:32" s="177" customFormat="1" x14ac:dyDescent="0.25">
      <c r="E36" s="178"/>
      <c r="F36" s="178"/>
      <c r="G36" s="178"/>
      <c r="H36" s="178"/>
      <c r="I36" s="199"/>
      <c r="J36" s="194"/>
      <c r="K36" s="195"/>
      <c r="L36" s="195"/>
      <c r="M36" s="196"/>
      <c r="N36" s="194"/>
      <c r="O36" s="194"/>
      <c r="P36" s="194"/>
      <c r="Q36" s="197"/>
      <c r="R36" s="194"/>
      <c r="S36" s="196"/>
      <c r="T36" s="195"/>
      <c r="U36" s="195"/>
      <c r="V36" s="194"/>
      <c r="W36" s="196"/>
      <c r="X36" s="196"/>
      <c r="Y36" s="194"/>
      <c r="Z36" s="196"/>
      <c r="AA36" s="198"/>
      <c r="AB36" s="198"/>
      <c r="AE36" s="180"/>
    </row>
    <row r="37" spans="5:32" s="177" customFormat="1" x14ac:dyDescent="0.25">
      <c r="E37" s="178"/>
      <c r="F37" s="178"/>
      <c r="G37" s="178"/>
      <c r="H37" s="178"/>
      <c r="I37" s="199"/>
      <c r="J37" s="194"/>
      <c r="K37" s="195"/>
      <c r="L37" s="195"/>
      <c r="M37" s="196"/>
      <c r="N37" s="194"/>
      <c r="O37" s="194"/>
      <c r="P37" s="194"/>
      <c r="Q37" s="197"/>
      <c r="R37" s="194"/>
      <c r="S37" s="196"/>
      <c r="T37" s="195"/>
      <c r="U37" s="195"/>
      <c r="V37" s="194"/>
      <c r="W37" s="196"/>
      <c r="X37" s="196"/>
      <c r="Y37" s="194"/>
      <c r="Z37" s="196"/>
      <c r="AA37" s="198"/>
      <c r="AB37" s="198"/>
      <c r="AE37" s="180"/>
    </row>
    <row r="38" spans="5:32" s="177" customFormat="1" x14ac:dyDescent="0.25">
      <c r="E38" s="178"/>
      <c r="F38" s="178"/>
      <c r="G38" s="178"/>
      <c r="H38" s="178"/>
      <c r="I38" s="199"/>
      <c r="J38" s="194"/>
      <c r="K38" s="195"/>
      <c r="L38" s="195"/>
      <c r="M38" s="196"/>
      <c r="N38" s="194"/>
      <c r="O38" s="194"/>
      <c r="P38" s="194"/>
      <c r="Q38" s="197"/>
      <c r="R38" s="194"/>
      <c r="S38" s="196"/>
      <c r="T38" s="195"/>
      <c r="U38" s="195"/>
      <c r="V38" s="194"/>
      <c r="W38" s="196"/>
      <c r="X38" s="196"/>
      <c r="Y38" s="194"/>
      <c r="Z38" s="196"/>
      <c r="AA38" s="198"/>
      <c r="AB38" s="198"/>
      <c r="AE38" s="180"/>
    </row>
    <row r="39" spans="5:32" s="177" customFormat="1" x14ac:dyDescent="0.25">
      <c r="E39" s="178"/>
      <c r="F39" s="178"/>
      <c r="G39" s="178"/>
      <c r="H39" s="178"/>
      <c r="I39" s="199"/>
      <c r="J39" s="194"/>
      <c r="K39" s="195"/>
      <c r="L39" s="195"/>
      <c r="M39" s="196"/>
      <c r="N39" s="194"/>
      <c r="O39" s="194"/>
      <c r="P39" s="194"/>
      <c r="Q39" s="197"/>
      <c r="R39" s="194"/>
      <c r="S39" s="196"/>
      <c r="T39" s="195"/>
      <c r="U39" s="195"/>
      <c r="V39" s="194"/>
      <c r="W39" s="196"/>
      <c r="X39" s="196"/>
      <c r="Y39" s="194"/>
      <c r="Z39" s="196"/>
      <c r="AA39" s="198"/>
      <c r="AB39" s="198"/>
      <c r="AE39" s="180"/>
    </row>
    <row r="40" spans="5:32" s="177" customFormat="1" x14ac:dyDescent="0.25">
      <c r="E40" s="178"/>
      <c r="F40" s="178"/>
      <c r="G40" s="178"/>
      <c r="H40" s="178"/>
      <c r="I40" s="199"/>
      <c r="J40" s="194"/>
      <c r="K40" s="195"/>
      <c r="L40" s="195"/>
      <c r="M40" s="196"/>
      <c r="N40" s="194"/>
      <c r="O40" s="194"/>
      <c r="P40" s="194"/>
      <c r="Q40" s="197"/>
      <c r="R40" s="194"/>
      <c r="S40" s="196"/>
      <c r="T40" s="195"/>
      <c r="U40" s="195"/>
      <c r="V40" s="194"/>
      <c r="W40" s="196"/>
      <c r="X40" s="196"/>
      <c r="Y40" s="194"/>
      <c r="Z40" s="196"/>
      <c r="AA40" s="198"/>
      <c r="AB40" s="198"/>
      <c r="AF40" s="180"/>
    </row>
    <row r="41" spans="5:32" s="177" customFormat="1" x14ac:dyDescent="0.25">
      <c r="E41" s="178"/>
      <c r="F41" s="178"/>
      <c r="G41" s="178"/>
      <c r="H41" s="178"/>
      <c r="I41" s="199"/>
      <c r="J41" s="194"/>
      <c r="K41" s="195"/>
      <c r="L41" s="195"/>
      <c r="M41" s="196"/>
      <c r="N41" s="194"/>
      <c r="O41" s="194"/>
      <c r="P41" s="194"/>
      <c r="Q41" s="197"/>
      <c r="R41" s="194"/>
      <c r="S41" s="196"/>
      <c r="T41" s="195"/>
      <c r="U41" s="195"/>
      <c r="V41" s="194"/>
      <c r="W41" s="196"/>
      <c r="X41" s="196"/>
      <c r="Y41" s="194"/>
      <c r="Z41" s="196"/>
      <c r="AA41" s="198"/>
      <c r="AB41" s="198"/>
      <c r="AF41" s="180"/>
    </row>
    <row r="42" spans="5:32" s="177" customFormat="1" x14ac:dyDescent="0.25">
      <c r="E42" s="178"/>
      <c r="F42" s="178"/>
      <c r="G42" s="178"/>
      <c r="H42" s="178"/>
      <c r="I42" s="199"/>
      <c r="J42" s="194"/>
      <c r="K42" s="195"/>
      <c r="L42" s="195"/>
      <c r="M42" s="196"/>
      <c r="N42" s="194"/>
      <c r="O42" s="194"/>
      <c r="P42" s="194"/>
      <c r="Q42" s="197"/>
      <c r="R42" s="194"/>
      <c r="S42" s="196"/>
      <c r="T42" s="195"/>
      <c r="U42" s="195"/>
      <c r="V42" s="194"/>
      <c r="W42" s="196"/>
      <c r="X42" s="196"/>
      <c r="Y42" s="194"/>
      <c r="Z42" s="196"/>
      <c r="AA42" s="198"/>
      <c r="AB42" s="198"/>
      <c r="AF42" s="180"/>
    </row>
    <row r="43" spans="5:32" s="177" customFormat="1" x14ac:dyDescent="0.25">
      <c r="E43" s="178"/>
      <c r="F43" s="178"/>
      <c r="G43" s="178"/>
      <c r="H43" s="178"/>
      <c r="I43" s="200"/>
      <c r="J43" s="194"/>
      <c r="K43" s="195"/>
      <c r="L43" s="195"/>
      <c r="M43" s="196"/>
      <c r="N43" s="194"/>
      <c r="O43" s="194"/>
      <c r="P43" s="194"/>
      <c r="Q43" s="197"/>
      <c r="R43" s="194"/>
      <c r="S43" s="196"/>
      <c r="T43" s="195"/>
      <c r="U43" s="195"/>
      <c r="V43" s="194"/>
      <c r="W43" s="196"/>
      <c r="X43" s="196"/>
      <c r="Y43" s="194"/>
      <c r="Z43" s="196"/>
      <c r="AA43" s="198"/>
      <c r="AB43" s="198"/>
      <c r="AF43" s="180"/>
    </row>
    <row r="44" spans="5:32" s="177" customFormat="1" x14ac:dyDescent="0.25">
      <c r="E44" s="178"/>
      <c r="F44" s="178"/>
      <c r="G44" s="178"/>
      <c r="H44" s="178"/>
      <c r="I44" s="200"/>
      <c r="J44" s="194"/>
      <c r="K44" s="195"/>
      <c r="L44" s="195"/>
      <c r="M44" s="196"/>
      <c r="N44" s="196"/>
      <c r="O44" s="196"/>
      <c r="P44" s="196"/>
      <c r="Q44" s="197"/>
      <c r="R44" s="196"/>
      <c r="S44" s="196"/>
      <c r="T44" s="196"/>
      <c r="U44" s="196"/>
      <c r="V44" s="194"/>
      <c r="W44" s="196"/>
      <c r="X44" s="196"/>
      <c r="Y44" s="194"/>
      <c r="Z44" s="196"/>
      <c r="AA44" s="196"/>
      <c r="AB44" s="196"/>
      <c r="AD44" s="182"/>
      <c r="AE44" s="182"/>
    </row>
    <row r="45" spans="5:32" s="184" customFormat="1" x14ac:dyDescent="0.25">
      <c r="E45" s="183"/>
      <c r="F45" s="183"/>
      <c r="G45" s="183"/>
      <c r="H45" s="183"/>
      <c r="Q45" s="185"/>
    </row>
    <row r="46" spans="5:32" s="184" customFormat="1" x14ac:dyDescent="0.25">
      <c r="E46" s="183"/>
      <c r="F46" s="183"/>
      <c r="G46" s="183"/>
      <c r="H46" s="183"/>
      <c r="Q46" s="185"/>
    </row>
  </sheetData>
  <sheetProtection algorithmName="SHA-512" hashValue="T9zIv/5AFkir42ttF5dWv2j0RM/o/fgET7G6yjYVXQp2xaLiIiustVvovNqB5fou4DCXrxd+1yrI8U/gbkNQcg==" saltValue="YZH9YUZAIeLvgkWMns6U0g==" spinCount="100000" sheet="1" objects="1" scenarios="1"/>
  <pageMargins left="0.7" right="0.7" top="0.75" bottom="0.75" header="0.3" footer="0.3"/>
  <pageSetup orientation="portrait" verticalDpi="0" r:id="rId1"/>
  <ignoredErrors>
    <ignoredError sqref="J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tabSelected="1" zoomScaleNormal="100" workbookViewId="0">
      <pane xSplit="9" ySplit="19" topLeftCell="S20" activePane="bottomRight" state="frozen"/>
      <selection pane="topRight" activeCell="J1" sqref="J1"/>
      <selection pane="bottomLeft" activeCell="A20" sqref="A20"/>
      <selection pane="bottomRight" activeCell="F5" sqref="F5"/>
    </sheetView>
  </sheetViews>
  <sheetFormatPr defaultRowHeight="15" x14ac:dyDescent="0.25"/>
  <cols>
    <col min="1" max="1" width="25.85546875" style="9" customWidth="1"/>
    <col min="2" max="2" width="20.42578125" customWidth="1"/>
    <col min="3" max="3" width="25.7109375" customWidth="1"/>
    <col min="5" max="5" width="12.42578125" customWidth="1"/>
    <col min="6" max="6" width="11.140625" customWidth="1"/>
    <col min="7" max="7" width="9.85546875" style="9" customWidth="1"/>
    <col min="8" max="8" width="9.140625" style="9" customWidth="1"/>
    <col min="9" max="10" width="9.140625" style="9"/>
    <col min="11" max="11" width="31.28515625" customWidth="1"/>
    <col min="12" max="12" width="14" style="9" customWidth="1"/>
    <col min="13" max="13" width="15.42578125" customWidth="1"/>
    <col min="14" max="14" width="16.85546875" customWidth="1"/>
    <col min="15" max="15" width="18.5703125" customWidth="1"/>
    <col min="16" max="16" width="11" style="9" customWidth="1"/>
    <col min="17" max="17" width="15" customWidth="1"/>
    <col min="18" max="18" width="14.85546875" customWidth="1"/>
    <col min="19" max="19" width="13.140625" customWidth="1"/>
    <col min="21" max="21" width="20.140625" customWidth="1"/>
    <col min="22" max="22" width="26.7109375" customWidth="1"/>
    <col min="23" max="23" width="23.5703125" customWidth="1"/>
    <col min="24" max="24" width="24.85546875" customWidth="1"/>
    <col min="25" max="25" width="27.28515625" customWidth="1"/>
    <col min="26" max="26" width="27.5703125" customWidth="1"/>
    <col min="27" max="27" width="31" customWidth="1"/>
  </cols>
  <sheetData>
    <row r="1" spans="1:27" s="41" customFormat="1" ht="15.75" thickBot="1" x14ac:dyDescent="0.3">
      <c r="C1" s="37"/>
      <c r="D1" s="42"/>
      <c r="S1" s="37"/>
      <c r="X1" s="41" t="s">
        <v>46</v>
      </c>
      <c r="Y1" s="41" t="s">
        <v>46</v>
      </c>
      <c r="Z1" s="41" t="s">
        <v>51</v>
      </c>
      <c r="AA1" s="41" t="s">
        <v>52</v>
      </c>
    </row>
    <row r="2" spans="1:27" s="41" customFormat="1" x14ac:dyDescent="0.25">
      <c r="A2" s="92" t="s">
        <v>48</v>
      </c>
      <c r="B2" s="11" t="s">
        <v>25</v>
      </c>
      <c r="C2" s="44" t="s">
        <v>26</v>
      </c>
      <c r="D2" s="17" t="s">
        <v>8</v>
      </c>
      <c r="E2" s="14" t="s">
        <v>10</v>
      </c>
      <c r="F2" s="14"/>
      <c r="G2" s="14" t="s">
        <v>10</v>
      </c>
      <c r="H2" s="14"/>
      <c r="I2" s="14" t="s">
        <v>10</v>
      </c>
      <c r="J2" s="14"/>
      <c r="K2" s="15" t="s">
        <v>27</v>
      </c>
      <c r="L2" s="15"/>
      <c r="M2" s="14"/>
      <c r="N2" s="14"/>
      <c r="O2" s="15" t="s">
        <v>28</v>
      </c>
      <c r="P2" s="15"/>
      <c r="Q2" s="14" t="s">
        <v>0</v>
      </c>
      <c r="R2" s="14" t="s">
        <v>0</v>
      </c>
      <c r="S2" s="4" t="s">
        <v>0</v>
      </c>
      <c r="T2" s="45"/>
      <c r="U2" s="14"/>
      <c r="V2" s="46"/>
      <c r="X2" s="41" t="s">
        <v>47</v>
      </c>
      <c r="Y2" s="41" t="s">
        <v>47</v>
      </c>
      <c r="Z2" s="41">
        <v>0</v>
      </c>
    </row>
    <row r="3" spans="1:27" s="41" customFormat="1" x14ac:dyDescent="0.25">
      <c r="A3" s="93"/>
      <c r="B3" s="47"/>
      <c r="C3" s="1" t="s">
        <v>29</v>
      </c>
      <c r="D3" s="2" t="s">
        <v>9</v>
      </c>
      <c r="E3" s="12" t="s">
        <v>11</v>
      </c>
      <c r="F3" s="12" t="s">
        <v>9</v>
      </c>
      <c r="G3" s="12" t="s">
        <v>11</v>
      </c>
      <c r="H3" s="12" t="s">
        <v>9</v>
      </c>
      <c r="I3" s="12" t="s">
        <v>11</v>
      </c>
      <c r="J3" s="12" t="s">
        <v>9</v>
      </c>
      <c r="K3" s="12" t="s">
        <v>30</v>
      </c>
      <c r="L3" s="12"/>
      <c r="M3" s="12" t="s">
        <v>31</v>
      </c>
      <c r="N3" s="12" t="s">
        <v>32</v>
      </c>
      <c r="O3" s="10" t="s">
        <v>14</v>
      </c>
      <c r="P3" s="10"/>
      <c r="Q3" s="12" t="s">
        <v>11</v>
      </c>
      <c r="R3" s="12" t="s">
        <v>9</v>
      </c>
      <c r="S3" s="6" t="s">
        <v>15</v>
      </c>
      <c r="T3" s="47"/>
      <c r="U3" s="12" t="s">
        <v>17</v>
      </c>
      <c r="V3" s="48" t="s">
        <v>16</v>
      </c>
      <c r="X3" s="100">
        <f>(D5-D15)/(B15-B5)</f>
        <v>1.7600834110492747E-4</v>
      </c>
      <c r="Y3" s="101">
        <f>(-0.024/(301578.86-301502.06))</f>
        <v>-3.1250000000004739E-4</v>
      </c>
      <c r="Z3" s="96">
        <f>301502.06</f>
        <v>301502.06</v>
      </c>
      <c r="AA3" s="97">
        <v>301702.01999399997</v>
      </c>
    </row>
    <row r="4" spans="1:27" s="41" customFormat="1" x14ac:dyDescent="0.25">
      <c r="A4" s="93"/>
      <c r="B4" s="49"/>
      <c r="C4" s="1"/>
      <c r="D4" s="2"/>
      <c r="E4" s="12"/>
      <c r="F4" s="12"/>
      <c r="G4" s="12"/>
      <c r="H4" s="12"/>
      <c r="I4" s="12"/>
      <c r="J4" s="12"/>
      <c r="K4" s="12"/>
      <c r="L4" s="12"/>
      <c r="M4" s="12"/>
      <c r="N4" s="12"/>
      <c r="O4" s="10"/>
      <c r="P4" s="10"/>
      <c r="Q4" s="12"/>
      <c r="R4" s="12"/>
      <c r="S4" s="6"/>
      <c r="T4" s="47"/>
      <c r="U4" s="12"/>
      <c r="V4" s="48"/>
      <c r="X4" s="41" t="s">
        <v>49</v>
      </c>
      <c r="Y4" s="41" t="s">
        <v>50</v>
      </c>
    </row>
    <row r="5" spans="1:27" s="41" customFormat="1" x14ac:dyDescent="0.25">
      <c r="A5" s="93">
        <v>23084.68</v>
      </c>
      <c r="B5" s="5">
        <v>301536.56</v>
      </c>
      <c r="C5" s="1">
        <v>753.89499999999998</v>
      </c>
      <c r="D5" s="2">
        <v>3.7900000000000003E-2</v>
      </c>
      <c r="E5" s="50">
        <v>5.67</v>
      </c>
      <c r="F5" s="51">
        <v>3.7900000000000003E-2</v>
      </c>
      <c r="G5" s="51">
        <v>0</v>
      </c>
      <c r="H5" s="51">
        <v>0</v>
      </c>
      <c r="I5" s="51">
        <v>15.63</v>
      </c>
      <c r="J5" s="51">
        <v>-2.3699999999999999E-2</v>
      </c>
      <c r="K5" s="1">
        <f>C5+(E5*F5)+(I5*J5)+(G5*H5)</f>
        <v>753.73946199999989</v>
      </c>
      <c r="L5" s="1">
        <v>753.74</v>
      </c>
      <c r="M5" s="12">
        <v>16</v>
      </c>
      <c r="N5" s="2">
        <f t="shared" ref="N5:N15" si="0">Y5</f>
        <v>-1.0781250000001635E-2</v>
      </c>
      <c r="O5" s="1">
        <f>K5+M5*N5</f>
        <v>753.56696199999988</v>
      </c>
      <c r="P5" s="2">
        <f>(O6-O5)/(B6-B5)</f>
        <v>-5.1652968749983888E-2</v>
      </c>
      <c r="Q5" s="12">
        <v>6</v>
      </c>
      <c r="R5" s="12">
        <v>-0.04</v>
      </c>
      <c r="S5" s="6">
        <f t="shared" ref="S5:S41" si="1">O5+(Q5*R5)</f>
        <v>753.32696199999987</v>
      </c>
      <c r="T5" s="47"/>
      <c r="U5" s="52">
        <f t="shared" ref="U5:U10" si="2">D5-F5</f>
        <v>0</v>
      </c>
      <c r="V5" s="53">
        <f>F5-N5</f>
        <v>4.868125000000164E-2</v>
      </c>
      <c r="X5" s="41">
        <v>3.7600000000000001E-2</v>
      </c>
      <c r="Y5" s="42">
        <f>(B5-$Z$3)*$Y$3</f>
        <v>-1.0781250000001635E-2</v>
      </c>
    </row>
    <row r="6" spans="1:27" s="41" customFormat="1" x14ac:dyDescent="0.25">
      <c r="A6" s="93">
        <v>23071.48</v>
      </c>
      <c r="B6" s="5">
        <v>301550</v>
      </c>
      <c r="C6" s="1">
        <v>753.23</v>
      </c>
      <c r="D6" s="2">
        <f>X6</f>
        <v>3.5534447895549368E-2</v>
      </c>
      <c r="E6" s="50">
        <v>5.77</v>
      </c>
      <c r="F6" s="51">
        <v>2.8150000000000001E-2</v>
      </c>
      <c r="G6" s="51">
        <v>0</v>
      </c>
      <c r="H6" s="51">
        <v>0</v>
      </c>
      <c r="I6" s="51">
        <v>14.02</v>
      </c>
      <c r="J6" s="51">
        <v>-1.9970000000000002E-2</v>
      </c>
      <c r="K6" s="1">
        <f t="shared" ref="K6:K15" si="3">C6+(E6*F6)+(I6*J6)+(G6*H6)</f>
        <v>753.11244610000006</v>
      </c>
      <c r="L6" s="1">
        <v>753.09</v>
      </c>
      <c r="M6" s="12">
        <v>16</v>
      </c>
      <c r="N6" s="2">
        <f t="shared" si="0"/>
        <v>-1.4981250000002999E-2</v>
      </c>
      <c r="O6" s="1">
        <f t="shared" ref="O6:O15" si="4">K6+M6*N6</f>
        <v>752.87274609999997</v>
      </c>
      <c r="P6" s="2">
        <f t="shared" ref="P6:P15" si="5">(O7-O6)/(B7-B6)</f>
        <v>-5.0771444000006341E-2</v>
      </c>
      <c r="Q6" s="12">
        <v>6</v>
      </c>
      <c r="R6" s="12">
        <v>-0.04</v>
      </c>
      <c r="S6" s="6">
        <f t="shared" si="1"/>
        <v>752.63274609999996</v>
      </c>
      <c r="T6" s="47"/>
      <c r="U6" s="52">
        <f t="shared" si="2"/>
        <v>7.3844478955493661E-3</v>
      </c>
      <c r="V6" s="53">
        <f t="shared" ref="V6:V40" si="6">F6-N6</f>
        <v>4.3131250000003001E-2</v>
      </c>
      <c r="X6" s="42">
        <f>$D$5-(B6-$B$5)*$X$3</f>
        <v>3.5534447895549368E-2</v>
      </c>
      <c r="Y6" s="42">
        <f>(B6-$Z$3)*$Y$3</f>
        <v>-1.4981250000002999E-2</v>
      </c>
    </row>
    <row r="7" spans="1:27" s="41" customFormat="1" x14ac:dyDescent="0.25">
      <c r="A7" s="93">
        <v>23046.74</v>
      </c>
      <c r="B7" s="5">
        <f t="shared" ref="B7:B40" si="7">B6+25</f>
        <v>301575</v>
      </c>
      <c r="C7" s="1">
        <v>752</v>
      </c>
      <c r="D7" s="2">
        <f t="shared" ref="D7:D14" si="8">X7</f>
        <v>3.1134239367926184E-2</v>
      </c>
      <c r="E7" s="50">
        <v>7.6</v>
      </c>
      <c r="F7" s="51">
        <v>1.6E-2</v>
      </c>
      <c r="G7" s="51"/>
      <c r="H7" s="51"/>
      <c r="I7" s="51">
        <v>9.59</v>
      </c>
      <c r="J7" s="51">
        <v>-1.6E-2</v>
      </c>
      <c r="K7" s="1">
        <f t="shared" si="3"/>
        <v>751.9681599999999</v>
      </c>
      <c r="L7" s="1">
        <v>751.98</v>
      </c>
      <c r="M7" s="12">
        <v>16</v>
      </c>
      <c r="N7" s="2">
        <f t="shared" si="0"/>
        <v>-2.2793750000004186E-2</v>
      </c>
      <c r="O7" s="1">
        <f t="shared" si="4"/>
        <v>751.60345999999981</v>
      </c>
      <c r="P7" s="2">
        <f t="shared" si="5"/>
        <v>-4.9098399999993492E-2</v>
      </c>
      <c r="Q7" s="12">
        <v>6</v>
      </c>
      <c r="R7" s="12">
        <v>-0.04</v>
      </c>
      <c r="S7" s="6">
        <f t="shared" si="1"/>
        <v>751.3634599999998</v>
      </c>
      <c r="T7" s="47"/>
      <c r="U7" s="52">
        <f t="shared" si="2"/>
        <v>1.5134239367926183E-2</v>
      </c>
      <c r="V7" s="53">
        <f t="shared" si="6"/>
        <v>3.8793750000004186E-2</v>
      </c>
      <c r="X7" s="42">
        <f t="shared" ref="X7:X15" si="9">$D$5-(B7-$B$5)*$X$3</f>
        <v>3.1134239367926184E-2</v>
      </c>
      <c r="Y7" s="42">
        <f>(B7-$Z$3)*$Y$3</f>
        <v>-2.2793750000004186E-2</v>
      </c>
    </row>
    <row r="8" spans="1:27" s="41" customFormat="1" x14ac:dyDescent="0.25">
      <c r="A8" s="93">
        <v>23021.91</v>
      </c>
      <c r="B8" s="90">
        <f t="shared" si="7"/>
        <v>301600</v>
      </c>
      <c r="C8" s="1">
        <v>750.76</v>
      </c>
      <c r="D8" s="2">
        <f t="shared" si="8"/>
        <v>2.6734030840302993E-2</v>
      </c>
      <c r="E8" s="50">
        <v>7.53</v>
      </c>
      <c r="F8" s="51">
        <v>1.6E-2</v>
      </c>
      <c r="G8" s="51"/>
      <c r="H8" s="51"/>
      <c r="I8" s="51">
        <v>7.53</v>
      </c>
      <c r="J8" s="51">
        <v>-1.6E-2</v>
      </c>
      <c r="K8" s="1">
        <f t="shared" si="3"/>
        <v>750.76</v>
      </c>
      <c r="L8" s="1"/>
      <c r="M8" s="12">
        <v>16</v>
      </c>
      <c r="N8" s="2">
        <f t="shared" si="0"/>
        <v>-2.4E-2</v>
      </c>
      <c r="O8" s="1">
        <f t="shared" si="4"/>
        <v>750.37599999999998</v>
      </c>
      <c r="P8" s="2">
        <f t="shared" si="5"/>
        <v>-4.5743999999999688E-2</v>
      </c>
      <c r="Q8" s="12">
        <v>6</v>
      </c>
      <c r="R8" s="12">
        <v>-0.04</v>
      </c>
      <c r="S8" s="6">
        <f t="shared" si="1"/>
        <v>750.13599999999997</v>
      </c>
      <c r="T8" s="47"/>
      <c r="U8" s="52">
        <f t="shared" si="2"/>
        <v>1.0734030840302992E-2</v>
      </c>
      <c r="V8" s="53">
        <f t="shared" si="6"/>
        <v>0.04</v>
      </c>
      <c r="X8" s="42">
        <f t="shared" si="9"/>
        <v>2.6734030840302993E-2</v>
      </c>
      <c r="Y8" s="98">
        <v>-2.4E-2</v>
      </c>
    </row>
    <row r="9" spans="1:27" s="41" customFormat="1" x14ac:dyDescent="0.25">
      <c r="A9" s="93">
        <v>22997.02</v>
      </c>
      <c r="B9" s="5">
        <f t="shared" si="7"/>
        <v>301625</v>
      </c>
      <c r="C9" s="1">
        <v>749.51</v>
      </c>
      <c r="D9" s="2">
        <f t="shared" si="8"/>
        <v>2.2333822312679809E-2</v>
      </c>
      <c r="E9" s="50">
        <v>6.65</v>
      </c>
      <c r="F9" s="51">
        <v>1.6E-2</v>
      </c>
      <c r="G9" s="51"/>
      <c r="H9" s="51"/>
      <c r="I9" s="51">
        <v>6.65</v>
      </c>
      <c r="J9" s="51">
        <v>0</v>
      </c>
      <c r="K9" s="1">
        <f t="shared" si="3"/>
        <v>749.6164</v>
      </c>
      <c r="L9" s="1"/>
      <c r="M9" s="12">
        <v>16</v>
      </c>
      <c r="N9" s="2">
        <f t="shared" si="0"/>
        <v>-2.4E-2</v>
      </c>
      <c r="O9" s="1">
        <f t="shared" si="4"/>
        <v>749.23239999999998</v>
      </c>
      <c r="P9" s="2">
        <f t="shared" si="5"/>
        <v>-4.6652799999997115E-2</v>
      </c>
      <c r="Q9" s="12">
        <v>6</v>
      </c>
      <c r="R9" s="12">
        <v>-0.04</v>
      </c>
      <c r="S9" s="6">
        <f t="shared" si="1"/>
        <v>748.99239999999998</v>
      </c>
      <c r="T9" s="47"/>
      <c r="U9" s="52">
        <f t="shared" si="2"/>
        <v>6.3338223126798085E-3</v>
      </c>
      <c r="V9" s="53">
        <f t="shared" si="6"/>
        <v>0.04</v>
      </c>
      <c r="X9" s="42">
        <f t="shared" si="9"/>
        <v>2.2333822312679809E-2</v>
      </c>
      <c r="Y9" s="98">
        <f>Y8</f>
        <v>-2.4E-2</v>
      </c>
    </row>
    <row r="10" spans="1:27" s="41" customFormat="1" x14ac:dyDescent="0.25">
      <c r="A10" s="93">
        <v>22972.06</v>
      </c>
      <c r="B10" s="5">
        <f t="shared" si="7"/>
        <v>301650</v>
      </c>
      <c r="C10" s="1">
        <v>748.26</v>
      </c>
      <c r="D10" s="2">
        <f t="shared" si="8"/>
        <v>1.7933613785056621E-2</v>
      </c>
      <c r="E10" s="50">
        <v>5.94</v>
      </c>
      <c r="F10" s="51">
        <v>1.6E-2</v>
      </c>
      <c r="G10" s="51"/>
      <c r="H10" s="51"/>
      <c r="I10" s="51">
        <v>5.94</v>
      </c>
      <c r="J10" s="51">
        <v>1.6E-2</v>
      </c>
      <c r="K10" s="1">
        <f t="shared" si="3"/>
        <v>748.45008000000007</v>
      </c>
      <c r="L10" s="1"/>
      <c r="M10" s="12">
        <v>16</v>
      </c>
      <c r="N10" s="2">
        <f t="shared" si="0"/>
        <v>-2.4E-2</v>
      </c>
      <c r="O10" s="1">
        <f t="shared" si="4"/>
        <v>748.06608000000006</v>
      </c>
      <c r="P10" s="2">
        <f t="shared" si="5"/>
        <v>-5.1773009015100797E-2</v>
      </c>
      <c r="Q10" s="12">
        <v>6.9</v>
      </c>
      <c r="R10" s="12">
        <v>-0.04</v>
      </c>
      <c r="S10" s="6">
        <f t="shared" si="1"/>
        <v>747.7900800000001</v>
      </c>
      <c r="T10" s="47"/>
      <c r="U10" s="52">
        <f t="shared" si="2"/>
        <v>1.9336137850566211E-3</v>
      </c>
      <c r="V10" s="53">
        <f t="shared" si="6"/>
        <v>0.04</v>
      </c>
      <c r="X10" s="42">
        <f t="shared" si="9"/>
        <v>1.7933613785056621E-2</v>
      </c>
      <c r="Y10" s="98">
        <f>Y9</f>
        <v>-2.4E-2</v>
      </c>
    </row>
    <row r="11" spans="1:27" s="41" customFormat="1" x14ac:dyDescent="0.25">
      <c r="A11" s="93">
        <v>22947.06</v>
      </c>
      <c r="B11" s="5">
        <f t="shared" si="7"/>
        <v>301675</v>
      </c>
      <c r="C11" s="1">
        <v>747.01</v>
      </c>
      <c r="D11" s="2">
        <f t="shared" si="8"/>
        <v>1.3533405257433434E-2</v>
      </c>
      <c r="E11" s="50">
        <v>10.77</v>
      </c>
      <c r="F11" s="51">
        <f t="shared" ref="F11:F13" si="10">D11</f>
        <v>1.3533405257433434E-2</v>
      </c>
      <c r="G11" s="51"/>
      <c r="H11" s="51"/>
      <c r="I11" s="51">
        <v>0</v>
      </c>
      <c r="J11" s="51">
        <f>F11</f>
        <v>1.3533405257433434E-2</v>
      </c>
      <c r="K11" s="1">
        <f t="shared" si="3"/>
        <v>747.15575477462255</v>
      </c>
      <c r="L11" s="1"/>
      <c r="M11" s="12">
        <v>16</v>
      </c>
      <c r="N11" s="2">
        <f t="shared" si="0"/>
        <v>-2.4E-2</v>
      </c>
      <c r="O11" s="1">
        <f t="shared" si="4"/>
        <v>746.77175477462254</v>
      </c>
      <c r="P11" s="2">
        <f t="shared" si="5"/>
        <v>-4.7613790601199073E-2</v>
      </c>
      <c r="Q11" s="12">
        <v>7.9</v>
      </c>
      <c r="R11" s="12">
        <v>-0.04</v>
      </c>
      <c r="S11" s="6">
        <f t="shared" si="1"/>
        <v>746.45575477462251</v>
      </c>
      <c r="T11" s="47"/>
      <c r="U11" s="52">
        <f t="shared" ref="U11:U40" si="11">F11-D11</f>
        <v>0</v>
      </c>
      <c r="V11" s="53">
        <f t="shared" si="6"/>
        <v>3.7533405257433435E-2</v>
      </c>
      <c r="X11" s="42">
        <f t="shared" si="9"/>
        <v>1.3533405257433434E-2</v>
      </c>
      <c r="Y11" s="98">
        <f>Y10</f>
        <v>-2.4E-2</v>
      </c>
    </row>
    <row r="12" spans="1:27" s="41" customFormat="1" x14ac:dyDescent="0.25">
      <c r="A12" s="93">
        <v>22922.035199999998</v>
      </c>
      <c r="B12" s="5">
        <f t="shared" si="7"/>
        <v>301700</v>
      </c>
      <c r="C12" s="1">
        <v>745.76</v>
      </c>
      <c r="D12" s="2">
        <f t="shared" si="8"/>
        <v>9.1331967298102466E-3</v>
      </c>
      <c r="E12" s="50">
        <v>9.91</v>
      </c>
      <c r="F12" s="51">
        <f t="shared" si="10"/>
        <v>9.1331967298102466E-3</v>
      </c>
      <c r="G12" s="51"/>
      <c r="H12" s="51"/>
      <c r="I12" s="51">
        <v>0</v>
      </c>
      <c r="J12" s="51">
        <f>F12</f>
        <v>9.1331967298102466E-3</v>
      </c>
      <c r="K12" s="1">
        <f t="shared" si="3"/>
        <v>745.8505099795924</v>
      </c>
      <c r="L12" s="1"/>
      <c r="M12" s="12">
        <v>16</v>
      </c>
      <c r="N12" s="2">
        <f t="shared" si="0"/>
        <v>-1.6818748124990457E-2</v>
      </c>
      <c r="O12" s="1">
        <f t="shared" si="4"/>
        <v>745.58141000959256</v>
      </c>
      <c r="P12" s="2">
        <f t="shared" si="5"/>
        <v>-5.1341408358330225E-2</v>
      </c>
      <c r="Q12" s="12">
        <v>8.9</v>
      </c>
      <c r="R12" s="12">
        <v>-0.04</v>
      </c>
      <c r="S12" s="6">
        <f t="shared" si="1"/>
        <v>745.22541000959257</v>
      </c>
      <c r="T12" s="47"/>
      <c r="U12" s="52">
        <f t="shared" si="11"/>
        <v>0</v>
      </c>
      <c r="V12" s="53">
        <f t="shared" si="6"/>
        <v>2.5951944854800704E-2</v>
      </c>
      <c r="X12" s="42">
        <f t="shared" si="9"/>
        <v>9.1331967298102466E-3</v>
      </c>
      <c r="Y12" s="42">
        <f>-0.024+($AA$3-B13)*$Y$3</f>
        <v>-1.6818748124990457E-2</v>
      </c>
    </row>
    <row r="13" spans="1:27" s="41" customFormat="1" x14ac:dyDescent="0.25">
      <c r="A13" s="93">
        <v>22896.98</v>
      </c>
      <c r="B13" s="5">
        <v>301725</v>
      </c>
      <c r="C13" s="1">
        <v>744.51</v>
      </c>
      <c r="D13" s="2">
        <f t="shared" si="8"/>
        <v>4.7329882021870592E-3</v>
      </c>
      <c r="E13" s="50">
        <v>9.27</v>
      </c>
      <c r="F13" s="51">
        <f t="shared" si="10"/>
        <v>4.7329882021870592E-3</v>
      </c>
      <c r="G13" s="51"/>
      <c r="H13" s="51"/>
      <c r="I13" s="51">
        <v>0</v>
      </c>
      <c r="J13" s="51">
        <f>F13</f>
        <v>4.7329882021870592E-3</v>
      </c>
      <c r="K13" s="1">
        <f t="shared" si="3"/>
        <v>744.55387480063428</v>
      </c>
      <c r="L13" s="1"/>
      <c r="M13" s="12">
        <f>M12</f>
        <v>16</v>
      </c>
      <c r="N13" s="2">
        <f t="shared" si="0"/>
        <v>-1.6E-2</v>
      </c>
      <c r="O13" s="1">
        <f t="shared" si="4"/>
        <v>744.2978748006343</v>
      </c>
      <c r="P13" s="2">
        <f t="shared" si="5"/>
        <v>-5.123838602740307E-2</v>
      </c>
      <c r="Q13" s="12">
        <v>10</v>
      </c>
      <c r="R13" s="12">
        <f>R12</f>
        <v>-0.04</v>
      </c>
      <c r="S13" s="6">
        <f t="shared" si="1"/>
        <v>743.89787480063433</v>
      </c>
      <c r="T13" s="47"/>
      <c r="U13" s="52">
        <f t="shared" si="11"/>
        <v>0</v>
      </c>
      <c r="V13" s="53">
        <f t="shared" si="6"/>
        <v>2.073298820218706E-2</v>
      </c>
      <c r="X13" s="42">
        <f t="shared" si="9"/>
        <v>4.7329882021870592E-3</v>
      </c>
      <c r="Y13" s="42">
        <v>-1.6E-2</v>
      </c>
    </row>
    <row r="14" spans="1:27" s="41" customFormat="1" x14ac:dyDescent="0.25">
      <c r="A14" s="93">
        <v>22871.67</v>
      </c>
      <c r="B14" s="5">
        <v>301750</v>
      </c>
      <c r="C14" s="1">
        <v>743.27</v>
      </c>
      <c r="D14" s="2">
        <f t="shared" si="8"/>
        <v>3.3277967456387531E-4</v>
      </c>
      <c r="E14" s="50">
        <v>8.76</v>
      </c>
      <c r="F14" s="51">
        <f>D14</f>
        <v>3.3277967456387531E-4</v>
      </c>
      <c r="G14" s="51"/>
      <c r="H14" s="51"/>
      <c r="I14" s="51">
        <v>0</v>
      </c>
      <c r="J14" s="51">
        <f>F14</f>
        <v>3.3277967456387531E-4</v>
      </c>
      <c r="K14" s="1">
        <f t="shared" si="3"/>
        <v>743.2729151499492</v>
      </c>
      <c r="L14" s="1"/>
      <c r="M14" s="12">
        <v>16</v>
      </c>
      <c r="N14" s="2">
        <f t="shared" si="0"/>
        <v>-1.6E-2</v>
      </c>
      <c r="O14" s="1">
        <f t="shared" si="4"/>
        <v>743.01691514994923</v>
      </c>
      <c r="P14" s="2">
        <f t="shared" si="5"/>
        <v>-6.5433378227355787E-2</v>
      </c>
      <c r="Q14" s="12">
        <v>10</v>
      </c>
      <c r="R14" s="12">
        <f>R13</f>
        <v>-0.04</v>
      </c>
      <c r="S14" s="6">
        <f t="shared" si="1"/>
        <v>742.61691514994925</v>
      </c>
      <c r="T14" s="47"/>
      <c r="U14" s="52">
        <f t="shared" si="11"/>
        <v>0</v>
      </c>
      <c r="V14" s="53">
        <f t="shared" si="6"/>
        <v>1.6332779674563876E-2</v>
      </c>
      <c r="X14" s="42">
        <f t="shared" si="9"/>
        <v>3.3277967456387531E-4</v>
      </c>
      <c r="Y14" s="42">
        <f>Y13</f>
        <v>-1.6E-2</v>
      </c>
    </row>
    <row r="15" spans="1:27" s="41" customFormat="1" x14ac:dyDescent="0.25">
      <c r="A15" s="93">
        <v>22869.77</v>
      </c>
      <c r="B15" s="5">
        <v>301751.89070400002</v>
      </c>
      <c r="C15" s="1">
        <v>743.14919999999995</v>
      </c>
      <c r="D15" s="2">
        <v>0</v>
      </c>
      <c r="E15" s="50">
        <v>8.76</v>
      </c>
      <c r="F15" s="51">
        <f>D15</f>
        <v>0</v>
      </c>
      <c r="G15" s="51"/>
      <c r="H15" s="51"/>
      <c r="I15" s="51">
        <v>0</v>
      </c>
      <c r="J15" s="51">
        <f>F15</f>
        <v>0</v>
      </c>
      <c r="K15" s="1">
        <f t="shared" si="3"/>
        <v>743.14919999999995</v>
      </c>
      <c r="L15" s="1"/>
      <c r="M15" s="12">
        <v>16</v>
      </c>
      <c r="N15" s="2">
        <f t="shared" si="0"/>
        <v>-1.6E-2</v>
      </c>
      <c r="O15" s="1">
        <f t="shared" si="4"/>
        <v>742.89319999999998</v>
      </c>
      <c r="P15" s="2">
        <f t="shared" si="5"/>
        <v>2.4619338697987889E-3</v>
      </c>
      <c r="Q15" s="12">
        <v>10</v>
      </c>
      <c r="R15" s="12">
        <f>R14</f>
        <v>-0.04</v>
      </c>
      <c r="S15" s="6">
        <f t="shared" si="1"/>
        <v>742.4932</v>
      </c>
      <c r="T15" s="47"/>
      <c r="U15" s="52">
        <f t="shared" si="11"/>
        <v>0</v>
      </c>
      <c r="V15" s="53">
        <f t="shared" si="6"/>
        <v>1.6E-2</v>
      </c>
      <c r="X15" s="42">
        <f t="shared" si="9"/>
        <v>0</v>
      </c>
      <c r="Y15" s="42">
        <f>Y14</f>
        <v>-1.6E-2</v>
      </c>
    </row>
    <row r="16" spans="1:27" s="41" customFormat="1" x14ac:dyDescent="0.25">
      <c r="A16" s="94"/>
      <c r="B16" s="5"/>
      <c r="C16" s="1"/>
      <c r="D16" s="2"/>
      <c r="E16" s="50"/>
      <c r="F16" s="51"/>
      <c r="G16" s="51"/>
      <c r="H16" s="51"/>
      <c r="I16" s="51"/>
      <c r="J16" s="51"/>
      <c r="K16" s="1"/>
      <c r="L16" s="1"/>
      <c r="M16" s="12"/>
      <c r="N16" s="2"/>
      <c r="O16" s="1"/>
      <c r="P16" s="1"/>
      <c r="Q16" s="12"/>
      <c r="R16" s="12"/>
      <c r="S16" s="6"/>
      <c r="T16" s="47"/>
      <c r="U16" s="52"/>
      <c r="V16" s="53"/>
      <c r="X16" s="41" t="s">
        <v>39</v>
      </c>
      <c r="Y16" s="41" t="s">
        <v>39</v>
      </c>
      <c r="Z16" s="41" t="s">
        <v>39</v>
      </c>
    </row>
    <row r="17" spans="1:26" s="41" customFormat="1" ht="15.75" thickBot="1" x14ac:dyDescent="0.3">
      <c r="A17" s="95"/>
      <c r="B17" s="5"/>
      <c r="C17" s="1"/>
      <c r="D17" s="2"/>
      <c r="E17" s="50"/>
      <c r="F17" s="50"/>
      <c r="G17" s="50"/>
      <c r="H17" s="50"/>
      <c r="I17" s="50"/>
      <c r="J17" s="50"/>
      <c r="K17" s="1"/>
      <c r="L17" s="1"/>
      <c r="M17" s="12"/>
      <c r="N17" s="2"/>
      <c r="O17" s="1"/>
      <c r="P17" s="1"/>
      <c r="Q17" s="12"/>
      <c r="R17" s="12"/>
      <c r="S17" s="6"/>
      <c r="T17" s="47"/>
      <c r="U17" s="52"/>
      <c r="V17" s="53"/>
      <c r="W17" s="99">
        <v>22301.48</v>
      </c>
      <c r="X17" s="100">
        <f>(0.037-0.016)/(22413.48-22301.48)*-1</f>
        <v>-1.8749999999999998E-4</v>
      </c>
      <c r="Y17" s="100">
        <f>(0.037-0.016)/(22564.77-22676.77)</f>
        <v>-1.8749999999999998E-4</v>
      </c>
      <c r="Z17" s="100">
        <f>(-0.016)/(22869.71-22784.44)</f>
        <v>-1.8763926351588974E-4</v>
      </c>
    </row>
    <row r="18" spans="1:26" s="41" customFormat="1" x14ac:dyDescent="0.25">
      <c r="B18" s="91" t="s">
        <v>33</v>
      </c>
      <c r="C18" s="54"/>
      <c r="D18" s="56"/>
      <c r="E18" s="50"/>
      <c r="F18" s="50"/>
      <c r="G18" s="50"/>
      <c r="H18" s="50"/>
      <c r="I18" s="50"/>
      <c r="J18" s="50"/>
      <c r="K18" s="54"/>
      <c r="L18" s="54"/>
      <c r="M18" s="57"/>
      <c r="N18" s="56"/>
      <c r="O18" s="54"/>
      <c r="P18" s="54"/>
      <c r="Q18" s="57"/>
      <c r="R18" s="57"/>
      <c r="S18" s="58"/>
      <c r="T18" s="47"/>
      <c r="U18" s="52"/>
      <c r="V18" s="53"/>
      <c r="W18" s="100">
        <v>-1.6E-2</v>
      </c>
      <c r="X18" s="41" t="s">
        <v>49</v>
      </c>
      <c r="Y18" s="41" t="s">
        <v>49</v>
      </c>
      <c r="Z18" s="41" t="s">
        <v>49</v>
      </c>
    </row>
    <row r="19" spans="1:26" s="41" customFormat="1" x14ac:dyDescent="0.25">
      <c r="B19" s="59">
        <v>22347.7</v>
      </c>
      <c r="C19" s="54">
        <v>722.82979999999998</v>
      </c>
      <c r="D19" s="56">
        <f>X19</f>
        <v>-2.4666250000000216E-2</v>
      </c>
      <c r="E19" s="50">
        <v>0</v>
      </c>
      <c r="F19" s="51">
        <f>D19</f>
        <v>-2.4666250000000216E-2</v>
      </c>
      <c r="G19" s="51"/>
      <c r="H19" s="51"/>
      <c r="I19" s="51"/>
      <c r="J19" s="51"/>
      <c r="K19" s="54">
        <f t="shared" ref="K19:K22" si="12">C19+(E19*F19)</f>
        <v>722.82979999999998</v>
      </c>
      <c r="L19" s="54"/>
      <c r="M19" s="57">
        <v>14.28</v>
      </c>
      <c r="N19" s="56">
        <f>F19</f>
        <v>-2.4666250000000216E-2</v>
      </c>
      <c r="O19" s="54">
        <f t="shared" ref="O19:O22" si="13">C19+(E19*F19)+(M19*N19)</f>
        <v>722.47756594999998</v>
      </c>
      <c r="P19" s="54"/>
      <c r="Q19" s="57">
        <v>10</v>
      </c>
      <c r="R19" s="57">
        <v>-0.04</v>
      </c>
      <c r="S19" s="58">
        <f t="shared" ref="S19:S22" si="14">O19+(Q19*R19)</f>
        <v>722.07756595000001</v>
      </c>
      <c r="T19" s="47"/>
      <c r="U19" s="52">
        <f t="shared" ref="U19:U22" si="15">F19-D19</f>
        <v>0</v>
      </c>
      <c r="V19" s="53">
        <f t="shared" ref="V19:V21" si="16">F19-N19</f>
        <v>0</v>
      </c>
      <c r="X19" s="42">
        <f>$W$18+(B19-$W$17)*$X$17</f>
        <v>-2.4666250000000216E-2</v>
      </c>
    </row>
    <row r="20" spans="1:26" s="41" customFormat="1" x14ac:dyDescent="0.25">
      <c r="B20" s="59">
        <v>22350</v>
      </c>
      <c r="C20" s="54">
        <v>722.87810000000002</v>
      </c>
      <c r="D20" s="56">
        <f>X20</f>
        <v>-2.5097500000000082E-2</v>
      </c>
      <c r="E20" s="50">
        <v>0</v>
      </c>
      <c r="F20" s="51">
        <f t="shared" ref="F20:F22" si="17">D20</f>
        <v>-2.5097500000000082E-2</v>
      </c>
      <c r="G20" s="51"/>
      <c r="H20" s="51"/>
      <c r="I20" s="51"/>
      <c r="J20" s="51"/>
      <c r="K20" s="54">
        <f t="shared" si="12"/>
        <v>722.87810000000002</v>
      </c>
      <c r="L20" s="54"/>
      <c r="M20" s="57">
        <v>14.33</v>
      </c>
      <c r="N20" s="56">
        <f t="shared" ref="N20:N22" si="18">F20</f>
        <v>-2.5097500000000082E-2</v>
      </c>
      <c r="O20" s="54">
        <f t="shared" si="13"/>
        <v>722.51845282500005</v>
      </c>
      <c r="P20" s="54"/>
      <c r="Q20" s="57">
        <v>10</v>
      </c>
      <c r="R20" s="57">
        <v>-0.04</v>
      </c>
      <c r="S20" s="58">
        <f t="shared" si="14"/>
        <v>722.11845282500008</v>
      </c>
      <c r="T20" s="47"/>
      <c r="U20" s="52">
        <f t="shared" si="15"/>
        <v>0</v>
      </c>
      <c r="V20" s="53">
        <f t="shared" si="16"/>
        <v>0</v>
      </c>
      <c r="X20" s="42">
        <f>$W$18+(B20-$W$17)*$X$17</f>
        <v>-2.5097500000000082E-2</v>
      </c>
    </row>
    <row r="21" spans="1:26" s="41" customFormat="1" x14ac:dyDescent="0.25">
      <c r="B21" s="59">
        <v>22375</v>
      </c>
      <c r="C21" s="54">
        <v>723.42729999999995</v>
      </c>
      <c r="D21" s="56">
        <f t="shared" ref="D21:D28" si="19">X21</f>
        <v>-2.9785000000000082E-2</v>
      </c>
      <c r="E21" s="50">
        <v>0</v>
      </c>
      <c r="F21" s="51">
        <f t="shared" si="17"/>
        <v>-2.9785000000000082E-2</v>
      </c>
      <c r="G21" s="51"/>
      <c r="H21" s="51"/>
      <c r="I21" s="51"/>
      <c r="J21" s="51"/>
      <c r="K21" s="54">
        <f t="shared" si="12"/>
        <v>723.42729999999995</v>
      </c>
      <c r="L21" s="54"/>
      <c r="M21" s="57">
        <v>14.83</v>
      </c>
      <c r="N21" s="56">
        <f t="shared" si="18"/>
        <v>-2.9785000000000082E-2</v>
      </c>
      <c r="O21" s="54">
        <f t="shared" si="13"/>
        <v>722.98558844999991</v>
      </c>
      <c r="P21" s="54"/>
      <c r="Q21" s="57">
        <v>10</v>
      </c>
      <c r="R21" s="57">
        <v>-0.04</v>
      </c>
      <c r="S21" s="58">
        <f t="shared" si="14"/>
        <v>722.58558844999993</v>
      </c>
      <c r="T21" s="47"/>
      <c r="U21" s="52">
        <f t="shared" si="15"/>
        <v>0</v>
      </c>
      <c r="V21" s="53">
        <f t="shared" si="16"/>
        <v>0</v>
      </c>
      <c r="X21" s="42">
        <f>$W$18+(B21-$W$17)*$X$17</f>
        <v>-2.9785000000000082E-2</v>
      </c>
    </row>
    <row r="22" spans="1:26" s="41" customFormat="1" x14ac:dyDescent="0.25">
      <c r="B22" s="59">
        <v>22400</v>
      </c>
      <c r="C22" s="54">
        <v>724.02229999999997</v>
      </c>
      <c r="D22" s="56">
        <f t="shared" si="19"/>
        <v>-3.4472500000000079E-2</v>
      </c>
      <c r="E22" s="50">
        <v>0</v>
      </c>
      <c r="F22" s="51">
        <f t="shared" si="17"/>
        <v>-3.4472500000000079E-2</v>
      </c>
      <c r="G22" s="51"/>
      <c r="H22" s="51"/>
      <c r="I22" s="51"/>
      <c r="J22" s="51"/>
      <c r="K22" s="54">
        <f t="shared" si="12"/>
        <v>724.02229999999997</v>
      </c>
      <c r="L22" s="54"/>
      <c r="M22" s="57">
        <v>15.33</v>
      </c>
      <c r="N22" s="56">
        <f t="shared" si="18"/>
        <v>-3.4472500000000079E-2</v>
      </c>
      <c r="O22" s="54">
        <f t="shared" si="13"/>
        <v>723.49383657499993</v>
      </c>
      <c r="P22" s="54"/>
      <c r="Q22" s="57">
        <v>10</v>
      </c>
      <c r="R22" s="57">
        <v>-0.04</v>
      </c>
      <c r="S22" s="58">
        <f t="shared" si="14"/>
        <v>723.09383657499995</v>
      </c>
      <c r="T22" s="47"/>
      <c r="U22" s="52">
        <f t="shared" si="15"/>
        <v>0</v>
      </c>
      <c r="V22" s="53">
        <f>F22-N22</f>
        <v>0</v>
      </c>
      <c r="X22" s="42">
        <f>$W$18+(B22-$W$17)*$X$17</f>
        <v>-3.4472500000000079E-2</v>
      </c>
    </row>
    <row r="23" spans="1:26" s="41" customFormat="1" x14ac:dyDescent="0.25">
      <c r="B23" s="59">
        <v>22425</v>
      </c>
      <c r="C23" s="54">
        <v>724.66300000000001</v>
      </c>
      <c r="D23" s="56">
        <f t="shared" si="19"/>
        <v>-3.6999999999999998E-2</v>
      </c>
      <c r="E23" s="50">
        <v>0</v>
      </c>
      <c r="F23" s="51">
        <f>D23</f>
        <v>-3.6999999999999998E-2</v>
      </c>
      <c r="G23" s="51"/>
      <c r="H23" s="51"/>
      <c r="I23" s="51"/>
      <c r="J23" s="51"/>
      <c r="K23" s="54">
        <f t="shared" ref="K23:K41" si="20">C23+(E23*F23)</f>
        <v>724.66300000000001</v>
      </c>
      <c r="L23" s="54"/>
      <c r="M23" s="57">
        <v>15.83</v>
      </c>
      <c r="N23" s="56">
        <f>F23</f>
        <v>-3.6999999999999998E-2</v>
      </c>
      <c r="O23" s="54">
        <f t="shared" ref="O23:O41" si="21">C23+(E23*F23)+(M23*N23)</f>
        <v>724.07729000000006</v>
      </c>
      <c r="P23" s="54"/>
      <c r="Q23" s="57">
        <v>10</v>
      </c>
      <c r="R23" s="57">
        <v>-0.04</v>
      </c>
      <c r="S23" s="58">
        <f t="shared" si="1"/>
        <v>723.67729000000008</v>
      </c>
      <c r="T23" s="47"/>
      <c r="U23" s="52">
        <f t="shared" si="11"/>
        <v>0</v>
      </c>
      <c r="V23" s="53">
        <f t="shared" si="6"/>
        <v>0</v>
      </c>
      <c r="X23" s="98">
        <v>-3.6999999999999998E-2</v>
      </c>
    </row>
    <row r="24" spans="1:26" s="41" customFormat="1" x14ac:dyDescent="0.25">
      <c r="B24" s="59">
        <v>22450</v>
      </c>
      <c r="C24" s="54">
        <v>725.34960000000001</v>
      </c>
      <c r="D24" s="56">
        <f t="shared" si="19"/>
        <v>-3.6999999999999998E-2</v>
      </c>
      <c r="E24" s="50">
        <v>0.33329999999999999</v>
      </c>
      <c r="F24" s="51">
        <f t="shared" ref="F24:F41" si="22">D24</f>
        <v>-3.6999999999999998E-2</v>
      </c>
      <c r="G24" s="51"/>
      <c r="H24" s="51"/>
      <c r="I24" s="51"/>
      <c r="J24" s="51"/>
      <c r="K24" s="54">
        <f t="shared" si="20"/>
        <v>725.33726790000003</v>
      </c>
      <c r="L24" s="54"/>
      <c r="M24" s="57">
        <v>16</v>
      </c>
      <c r="N24" s="56">
        <f t="shared" ref="N24:N37" si="23">F24</f>
        <v>-3.6999999999999998E-2</v>
      </c>
      <c r="O24" s="54">
        <f t="shared" si="21"/>
        <v>724.74526790000004</v>
      </c>
      <c r="P24" s="54"/>
      <c r="Q24" s="57">
        <v>10</v>
      </c>
      <c r="R24" s="57">
        <v>-0.04</v>
      </c>
      <c r="S24" s="58">
        <f t="shared" si="1"/>
        <v>724.34526790000007</v>
      </c>
      <c r="T24" s="47"/>
      <c r="U24" s="52">
        <f t="shared" si="11"/>
        <v>0</v>
      </c>
      <c r="V24" s="53">
        <f t="shared" si="6"/>
        <v>0</v>
      </c>
      <c r="X24" s="98">
        <f>X23</f>
        <v>-3.6999999999999998E-2</v>
      </c>
    </row>
    <row r="25" spans="1:26" s="41" customFormat="1" x14ac:dyDescent="0.25">
      <c r="B25" s="59">
        <f t="shared" si="7"/>
        <v>22475</v>
      </c>
      <c r="C25" s="54">
        <v>726.08209999999997</v>
      </c>
      <c r="D25" s="56">
        <f t="shared" si="19"/>
        <v>-3.6999999999999998E-2</v>
      </c>
      <c r="E25" s="50">
        <v>0.83330000000000004</v>
      </c>
      <c r="F25" s="51">
        <f t="shared" si="22"/>
        <v>-3.6999999999999998E-2</v>
      </c>
      <c r="G25" s="51"/>
      <c r="H25" s="51"/>
      <c r="I25" s="51"/>
      <c r="J25" s="51"/>
      <c r="K25" s="54">
        <f t="shared" si="20"/>
        <v>726.05126789999997</v>
      </c>
      <c r="L25" s="54"/>
      <c r="M25" s="57">
        <v>16</v>
      </c>
      <c r="N25" s="56">
        <f t="shared" si="23"/>
        <v>-3.6999999999999998E-2</v>
      </c>
      <c r="O25" s="54">
        <f t="shared" si="21"/>
        <v>725.45926789999999</v>
      </c>
      <c r="P25" s="54"/>
      <c r="Q25" s="57">
        <v>10</v>
      </c>
      <c r="R25" s="57">
        <v>-0.04</v>
      </c>
      <c r="S25" s="58">
        <f t="shared" si="1"/>
        <v>725.05926790000001</v>
      </c>
      <c r="T25" s="47"/>
      <c r="U25" s="52">
        <f t="shared" si="11"/>
        <v>0</v>
      </c>
      <c r="V25" s="53">
        <f t="shared" si="6"/>
        <v>0</v>
      </c>
      <c r="X25" s="98">
        <f t="shared" ref="X25:X28" si="24">X24</f>
        <v>-3.6999999999999998E-2</v>
      </c>
    </row>
    <row r="26" spans="1:26" s="41" customFormat="1" x14ac:dyDescent="0.25">
      <c r="B26" s="59">
        <f t="shared" si="7"/>
        <v>22500</v>
      </c>
      <c r="C26" s="54">
        <v>726.86</v>
      </c>
      <c r="D26" s="56">
        <f t="shared" si="19"/>
        <v>-3.6999999999999998E-2</v>
      </c>
      <c r="E26" s="50">
        <v>1.32</v>
      </c>
      <c r="F26" s="51">
        <f t="shared" si="22"/>
        <v>-3.6999999999999998E-2</v>
      </c>
      <c r="G26" s="51"/>
      <c r="H26" s="51"/>
      <c r="I26" s="51"/>
      <c r="J26" s="51"/>
      <c r="K26" s="54">
        <f t="shared" si="20"/>
        <v>726.81115999999997</v>
      </c>
      <c r="L26" s="54"/>
      <c r="M26" s="57">
        <v>16</v>
      </c>
      <c r="N26" s="56">
        <f t="shared" si="23"/>
        <v>-3.6999999999999998E-2</v>
      </c>
      <c r="O26" s="54">
        <f t="shared" si="21"/>
        <v>726.21915999999999</v>
      </c>
      <c r="P26" s="54"/>
      <c r="Q26" s="57">
        <v>10</v>
      </c>
      <c r="R26" s="57">
        <v>-0.04</v>
      </c>
      <c r="S26" s="58">
        <f t="shared" si="1"/>
        <v>725.81916000000001</v>
      </c>
      <c r="T26" s="47"/>
      <c r="U26" s="52">
        <f t="shared" si="11"/>
        <v>0</v>
      </c>
      <c r="V26" s="53">
        <f>F26-N26</f>
        <v>0</v>
      </c>
      <c r="X26" s="98">
        <f t="shared" si="24"/>
        <v>-3.6999999999999998E-2</v>
      </c>
    </row>
    <row r="27" spans="1:26" s="41" customFormat="1" x14ac:dyDescent="0.25">
      <c r="B27" s="59">
        <f t="shared" si="7"/>
        <v>22525</v>
      </c>
      <c r="C27" s="54">
        <v>727.68430000000001</v>
      </c>
      <c r="D27" s="56">
        <f t="shared" si="19"/>
        <v>-3.6999999999999998E-2</v>
      </c>
      <c r="E27" s="50">
        <v>1.82</v>
      </c>
      <c r="F27" s="51">
        <f t="shared" si="22"/>
        <v>-3.6999999999999998E-2</v>
      </c>
      <c r="G27" s="51"/>
      <c r="H27" s="51"/>
      <c r="I27" s="51"/>
      <c r="J27" s="51"/>
      <c r="K27" s="54">
        <f t="shared" si="20"/>
        <v>727.61696000000006</v>
      </c>
      <c r="L27" s="54"/>
      <c r="M27" s="57">
        <v>16</v>
      </c>
      <c r="N27" s="56">
        <f t="shared" si="23"/>
        <v>-3.6999999999999998E-2</v>
      </c>
      <c r="O27" s="54">
        <f t="shared" si="21"/>
        <v>727.02496000000008</v>
      </c>
      <c r="P27" s="54"/>
      <c r="Q27" s="57">
        <v>10</v>
      </c>
      <c r="R27" s="57">
        <v>-0.04</v>
      </c>
      <c r="S27" s="58">
        <f t="shared" si="1"/>
        <v>726.6249600000001</v>
      </c>
      <c r="T27" s="47"/>
      <c r="U27" s="52">
        <f t="shared" si="11"/>
        <v>0</v>
      </c>
      <c r="V27" s="53">
        <f t="shared" si="6"/>
        <v>0</v>
      </c>
      <c r="W27" s="99">
        <v>22564.77</v>
      </c>
      <c r="X27" s="98">
        <f t="shared" si="24"/>
        <v>-3.6999999999999998E-2</v>
      </c>
    </row>
    <row r="28" spans="1:26" s="41" customFormat="1" ht="14.25" customHeight="1" x14ac:dyDescent="0.25">
      <c r="B28" s="59">
        <f t="shared" si="7"/>
        <v>22550</v>
      </c>
      <c r="C28" s="54">
        <v>728.55409999999995</v>
      </c>
      <c r="D28" s="56">
        <f t="shared" si="19"/>
        <v>-3.6999999999999998E-2</v>
      </c>
      <c r="E28" s="50">
        <v>2.3199999999999998</v>
      </c>
      <c r="F28" s="51">
        <f t="shared" si="22"/>
        <v>-3.6999999999999998E-2</v>
      </c>
      <c r="G28" s="51"/>
      <c r="H28" s="51"/>
      <c r="I28" s="51"/>
      <c r="J28" s="51"/>
      <c r="K28" s="54">
        <f t="shared" si="20"/>
        <v>728.46825999999999</v>
      </c>
      <c r="L28" s="54"/>
      <c r="M28" s="57">
        <v>16</v>
      </c>
      <c r="N28" s="56">
        <f t="shared" si="23"/>
        <v>-3.6999999999999998E-2</v>
      </c>
      <c r="O28" s="54">
        <f t="shared" si="21"/>
        <v>727.87626</v>
      </c>
      <c r="P28" s="54"/>
      <c r="Q28" s="57">
        <v>10</v>
      </c>
      <c r="R28" s="57">
        <v>-0.04</v>
      </c>
      <c r="S28" s="58">
        <f t="shared" si="1"/>
        <v>727.47626000000002</v>
      </c>
      <c r="T28" s="47"/>
      <c r="U28" s="52">
        <f t="shared" si="11"/>
        <v>0</v>
      </c>
      <c r="V28" s="53">
        <f t="shared" si="6"/>
        <v>0</v>
      </c>
      <c r="W28" s="100">
        <v>-3.6999999999999998E-2</v>
      </c>
      <c r="X28" s="98">
        <f t="shared" si="24"/>
        <v>-3.6999999999999998E-2</v>
      </c>
    </row>
    <row r="29" spans="1:26" s="41" customFormat="1" x14ac:dyDescent="0.25">
      <c r="B29" s="59">
        <f t="shared" si="7"/>
        <v>22575</v>
      </c>
      <c r="C29" s="54">
        <v>729.46969999999999</v>
      </c>
      <c r="D29" s="56">
        <f>Y29</f>
        <v>-3.5081875000000082E-2</v>
      </c>
      <c r="E29" s="50">
        <v>2.82</v>
      </c>
      <c r="F29" s="51">
        <f t="shared" si="22"/>
        <v>-3.5081875000000082E-2</v>
      </c>
      <c r="G29" s="51"/>
      <c r="H29" s="51"/>
      <c r="I29" s="51"/>
      <c r="J29" s="51"/>
      <c r="K29" s="54">
        <f t="shared" si="20"/>
        <v>729.37076911249994</v>
      </c>
      <c r="L29" s="54"/>
      <c r="M29" s="57">
        <v>16</v>
      </c>
      <c r="N29" s="56">
        <f t="shared" si="23"/>
        <v>-3.5081875000000082E-2</v>
      </c>
      <c r="O29" s="54">
        <f t="shared" si="21"/>
        <v>728.80945911249989</v>
      </c>
      <c r="P29" s="54"/>
      <c r="Q29" s="57">
        <v>10</v>
      </c>
      <c r="R29" s="57">
        <v>-0.04</v>
      </c>
      <c r="S29" s="58">
        <f t="shared" si="1"/>
        <v>728.40945911249992</v>
      </c>
      <c r="T29" s="47"/>
      <c r="U29" s="52">
        <f t="shared" si="11"/>
        <v>0</v>
      </c>
      <c r="V29" s="53">
        <f t="shared" si="6"/>
        <v>0</v>
      </c>
      <c r="Y29" s="42">
        <f>$W$28-(B29-$W$27)*$Y$17</f>
        <v>-3.5081875000000082E-2</v>
      </c>
    </row>
    <row r="30" spans="1:26" s="41" customFormat="1" x14ac:dyDescent="0.25">
      <c r="B30" s="59">
        <f t="shared" si="7"/>
        <v>22600</v>
      </c>
      <c r="C30" s="54">
        <v>730.43119999999999</v>
      </c>
      <c r="D30" s="56">
        <f t="shared" ref="D30:D36" si="25">Y30</f>
        <v>-3.0394375000000081E-2</v>
      </c>
      <c r="E30" s="50">
        <v>3.32</v>
      </c>
      <c r="F30" s="51">
        <f t="shared" si="22"/>
        <v>-3.0394375000000081E-2</v>
      </c>
      <c r="G30" s="51"/>
      <c r="H30" s="51"/>
      <c r="I30" s="51"/>
      <c r="J30" s="51"/>
      <c r="K30" s="54">
        <f t="shared" si="20"/>
        <v>730.33029067500001</v>
      </c>
      <c r="L30" s="54"/>
      <c r="M30" s="57">
        <v>16</v>
      </c>
      <c r="N30" s="56">
        <f t="shared" si="23"/>
        <v>-3.0394375000000081E-2</v>
      </c>
      <c r="O30" s="54">
        <f t="shared" si="21"/>
        <v>729.84398067500001</v>
      </c>
      <c r="P30" s="54"/>
      <c r="Q30" s="57">
        <v>10</v>
      </c>
      <c r="R30" s="57">
        <v>-0.04</v>
      </c>
      <c r="S30" s="58">
        <f t="shared" si="1"/>
        <v>729.44398067500003</v>
      </c>
      <c r="T30" s="47"/>
      <c r="U30" s="52">
        <f t="shared" si="11"/>
        <v>0</v>
      </c>
      <c r="V30" s="53">
        <f t="shared" si="6"/>
        <v>0</v>
      </c>
      <c r="Y30" s="42">
        <f t="shared" ref="Y30:Y33" si="26">$W$28-(B30-$W$27)*$Y$17</f>
        <v>-3.0394375000000081E-2</v>
      </c>
    </row>
    <row r="31" spans="1:26" s="41" customFormat="1" x14ac:dyDescent="0.25">
      <c r="B31" s="59">
        <f t="shared" si="7"/>
        <v>22625</v>
      </c>
      <c r="C31" s="54">
        <v>731.4384</v>
      </c>
      <c r="D31" s="56">
        <f t="shared" si="25"/>
        <v>-2.570687500000008E-2</v>
      </c>
      <c r="E31" s="50">
        <v>3.82</v>
      </c>
      <c r="F31" s="51">
        <f t="shared" si="22"/>
        <v>-2.570687500000008E-2</v>
      </c>
      <c r="G31" s="51"/>
      <c r="H31" s="51"/>
      <c r="I31" s="51"/>
      <c r="J31" s="51"/>
      <c r="K31" s="54">
        <f t="shared" si="20"/>
        <v>731.34019973750003</v>
      </c>
      <c r="L31" s="54"/>
      <c r="M31" s="57">
        <v>16</v>
      </c>
      <c r="N31" s="56">
        <f t="shared" si="23"/>
        <v>-2.570687500000008E-2</v>
      </c>
      <c r="O31" s="54">
        <f t="shared" si="21"/>
        <v>730.92888973750007</v>
      </c>
      <c r="P31" s="54"/>
      <c r="Q31" s="57">
        <v>10</v>
      </c>
      <c r="R31" s="57">
        <v>-0.04</v>
      </c>
      <c r="S31" s="58">
        <f t="shared" si="1"/>
        <v>730.52888973750009</v>
      </c>
      <c r="T31" s="47"/>
      <c r="U31" s="52">
        <f t="shared" si="11"/>
        <v>0</v>
      </c>
      <c r="V31" s="53">
        <f t="shared" si="6"/>
        <v>0</v>
      </c>
      <c r="Y31" s="42">
        <f t="shared" si="26"/>
        <v>-2.570687500000008E-2</v>
      </c>
    </row>
    <row r="32" spans="1:26" s="41" customFormat="1" ht="15.75" customHeight="1" x14ac:dyDescent="0.25">
      <c r="B32" s="59">
        <f t="shared" si="7"/>
        <v>22650</v>
      </c>
      <c r="C32" s="54">
        <v>732.4914</v>
      </c>
      <c r="D32" s="56">
        <f t="shared" si="25"/>
        <v>-2.1019375000000083E-2</v>
      </c>
      <c r="E32" s="50">
        <v>4.33</v>
      </c>
      <c r="F32" s="51">
        <f t="shared" si="22"/>
        <v>-2.1019375000000083E-2</v>
      </c>
      <c r="G32" s="51"/>
      <c r="H32" s="51"/>
      <c r="I32" s="51"/>
      <c r="J32" s="51"/>
      <c r="K32" s="54">
        <f t="shared" si="20"/>
        <v>732.40038610625004</v>
      </c>
      <c r="L32" s="54"/>
      <c r="M32" s="57">
        <v>16</v>
      </c>
      <c r="N32" s="56">
        <f t="shared" si="23"/>
        <v>-2.1019375000000083E-2</v>
      </c>
      <c r="O32" s="54">
        <f t="shared" si="21"/>
        <v>732.06407610625001</v>
      </c>
      <c r="P32" s="54"/>
      <c r="Q32" s="57">
        <v>10</v>
      </c>
      <c r="R32" s="57">
        <v>-0.04</v>
      </c>
      <c r="S32" s="58">
        <f t="shared" si="1"/>
        <v>731.66407610625004</v>
      </c>
      <c r="T32" s="47"/>
      <c r="U32" s="52">
        <f t="shared" si="11"/>
        <v>0</v>
      </c>
      <c r="V32" s="53">
        <f t="shared" si="6"/>
        <v>0</v>
      </c>
      <c r="Y32" s="42">
        <f t="shared" si="26"/>
        <v>-2.1019375000000083E-2</v>
      </c>
    </row>
    <row r="33" spans="2:26" s="41" customFormat="1" x14ac:dyDescent="0.25">
      <c r="B33" s="59">
        <f t="shared" si="7"/>
        <v>22675</v>
      </c>
      <c r="C33" s="54">
        <v>733.59029999999996</v>
      </c>
      <c r="D33" s="56">
        <f t="shared" si="25"/>
        <v>-1.6331875000000082E-2</v>
      </c>
      <c r="E33" s="50">
        <v>4.82</v>
      </c>
      <c r="F33" s="51">
        <f t="shared" si="22"/>
        <v>-1.6331875000000082E-2</v>
      </c>
      <c r="G33" s="51"/>
      <c r="H33" s="51"/>
      <c r="I33" s="51"/>
      <c r="J33" s="51"/>
      <c r="K33" s="54">
        <f t="shared" si="20"/>
        <v>733.51158036250001</v>
      </c>
      <c r="L33" s="54"/>
      <c r="M33" s="57">
        <v>16</v>
      </c>
      <c r="N33" s="56">
        <f t="shared" si="23"/>
        <v>-1.6331875000000082E-2</v>
      </c>
      <c r="O33" s="54">
        <f t="shared" si="21"/>
        <v>733.25027036250003</v>
      </c>
      <c r="P33" s="54"/>
      <c r="Q33" s="57">
        <v>10</v>
      </c>
      <c r="R33" s="57">
        <v>-0.04</v>
      </c>
      <c r="S33" s="58">
        <f t="shared" si="1"/>
        <v>732.85027036250005</v>
      </c>
      <c r="T33" s="47"/>
      <c r="U33" s="52">
        <f t="shared" si="11"/>
        <v>0</v>
      </c>
      <c r="V33" s="53">
        <f t="shared" si="6"/>
        <v>0</v>
      </c>
      <c r="Y33" s="42">
        <f t="shared" si="26"/>
        <v>-1.6331875000000082E-2</v>
      </c>
    </row>
    <row r="34" spans="2:26" s="41" customFormat="1" x14ac:dyDescent="0.25">
      <c r="B34" s="59">
        <f t="shared" si="7"/>
        <v>22700</v>
      </c>
      <c r="C34" s="54">
        <v>734.73490000000004</v>
      </c>
      <c r="D34" s="56">
        <f t="shared" si="25"/>
        <v>-1.6E-2</v>
      </c>
      <c r="E34" s="50">
        <v>5.32</v>
      </c>
      <c r="F34" s="51">
        <f t="shared" si="22"/>
        <v>-1.6E-2</v>
      </c>
      <c r="G34" s="51"/>
      <c r="H34" s="51"/>
      <c r="I34" s="51"/>
      <c r="J34" s="51"/>
      <c r="K34" s="54">
        <f t="shared" si="20"/>
        <v>734.64978000000008</v>
      </c>
      <c r="L34" s="54"/>
      <c r="M34" s="57">
        <v>16</v>
      </c>
      <c r="N34" s="56">
        <f t="shared" si="23"/>
        <v>-1.6E-2</v>
      </c>
      <c r="O34" s="54">
        <f t="shared" si="21"/>
        <v>734.39378000000011</v>
      </c>
      <c r="P34" s="54"/>
      <c r="Q34" s="57">
        <v>10</v>
      </c>
      <c r="R34" s="57">
        <v>-0.04</v>
      </c>
      <c r="S34" s="58">
        <f t="shared" si="1"/>
        <v>733.99378000000013</v>
      </c>
      <c r="T34" s="47"/>
      <c r="U34" s="52">
        <f t="shared" si="11"/>
        <v>0</v>
      </c>
      <c r="V34" s="53">
        <f t="shared" si="6"/>
        <v>0</v>
      </c>
      <c r="Y34" s="98">
        <v>-1.6E-2</v>
      </c>
    </row>
    <row r="35" spans="2:26" s="41" customFormat="1" x14ac:dyDescent="0.25">
      <c r="B35" s="59">
        <f t="shared" si="7"/>
        <v>22725</v>
      </c>
      <c r="C35" s="54">
        <v>735.92539999999997</v>
      </c>
      <c r="D35" s="56">
        <f t="shared" si="25"/>
        <v>-1.6E-2</v>
      </c>
      <c r="E35" s="50">
        <v>5.82</v>
      </c>
      <c r="F35" s="51">
        <f t="shared" si="22"/>
        <v>-1.6E-2</v>
      </c>
      <c r="G35" s="51"/>
      <c r="H35" s="51"/>
      <c r="I35" s="51"/>
      <c r="J35" s="51"/>
      <c r="K35" s="54">
        <f t="shared" si="20"/>
        <v>735.83227999999997</v>
      </c>
      <c r="L35" s="54"/>
      <c r="M35" s="57">
        <v>16</v>
      </c>
      <c r="N35" s="56">
        <f t="shared" si="23"/>
        <v>-1.6E-2</v>
      </c>
      <c r="O35" s="54">
        <f t="shared" si="21"/>
        <v>735.57628</v>
      </c>
      <c r="P35" s="54"/>
      <c r="Q35" s="57">
        <v>10</v>
      </c>
      <c r="R35" s="57">
        <v>-0.04</v>
      </c>
      <c r="S35" s="58">
        <f t="shared" si="1"/>
        <v>735.17628000000002</v>
      </c>
      <c r="T35" s="47"/>
      <c r="U35" s="52">
        <f t="shared" si="11"/>
        <v>0</v>
      </c>
      <c r="V35" s="53">
        <f t="shared" si="6"/>
        <v>0</v>
      </c>
      <c r="Y35" s="98">
        <v>-1.6E-2</v>
      </c>
    </row>
    <row r="36" spans="2:26" s="41" customFormat="1" x14ac:dyDescent="0.25">
      <c r="B36" s="59">
        <f t="shared" si="7"/>
        <v>22750</v>
      </c>
      <c r="C36" s="54">
        <v>737.16</v>
      </c>
      <c r="D36" s="56">
        <f t="shared" si="25"/>
        <v>-1.6E-2</v>
      </c>
      <c r="E36" s="50">
        <v>6.32</v>
      </c>
      <c r="F36" s="51">
        <f t="shared" si="22"/>
        <v>-1.6E-2</v>
      </c>
      <c r="G36" s="51"/>
      <c r="H36" s="51"/>
      <c r="I36" s="51"/>
      <c r="J36" s="51"/>
      <c r="K36" s="54">
        <f t="shared" si="20"/>
        <v>737.05887999999993</v>
      </c>
      <c r="L36" s="54"/>
      <c r="M36" s="57">
        <v>16</v>
      </c>
      <c r="N36" s="56">
        <f t="shared" si="23"/>
        <v>-1.6E-2</v>
      </c>
      <c r="O36" s="54">
        <f t="shared" si="21"/>
        <v>736.80287999999996</v>
      </c>
      <c r="P36" s="54"/>
      <c r="Q36" s="57">
        <v>10</v>
      </c>
      <c r="R36" s="57">
        <v>-0.04</v>
      </c>
      <c r="S36" s="58">
        <f t="shared" si="1"/>
        <v>736.40287999999998</v>
      </c>
      <c r="T36" s="47"/>
      <c r="U36" s="52">
        <f t="shared" si="11"/>
        <v>0</v>
      </c>
      <c r="V36" s="53">
        <f t="shared" si="6"/>
        <v>0</v>
      </c>
      <c r="Y36" s="98">
        <v>-1.6E-2</v>
      </c>
    </row>
    <row r="37" spans="2:26" s="41" customFormat="1" x14ac:dyDescent="0.25">
      <c r="B37" s="59">
        <f t="shared" si="7"/>
        <v>22775</v>
      </c>
      <c r="C37" s="54">
        <v>738.41</v>
      </c>
      <c r="D37" s="56">
        <f>Z38</f>
        <v>-1.3080333059692511E-2</v>
      </c>
      <c r="E37" s="50">
        <v>6.82</v>
      </c>
      <c r="F37" s="51">
        <f t="shared" si="22"/>
        <v>-1.3080333059692511E-2</v>
      </c>
      <c r="G37" s="51"/>
      <c r="H37" s="51"/>
      <c r="I37" s="51"/>
      <c r="J37" s="51"/>
      <c r="K37" s="54">
        <f t="shared" si="20"/>
        <v>738.32079212853284</v>
      </c>
      <c r="L37" s="54"/>
      <c r="M37" s="57">
        <v>16</v>
      </c>
      <c r="N37" s="56">
        <f t="shared" si="23"/>
        <v>-1.3080333059692511E-2</v>
      </c>
      <c r="O37" s="54">
        <f t="shared" si="21"/>
        <v>738.1115067995778</v>
      </c>
      <c r="P37" s="54"/>
      <c r="Q37" s="57">
        <v>10</v>
      </c>
      <c r="R37" s="57">
        <v>-0.04</v>
      </c>
      <c r="S37" s="58">
        <f t="shared" si="1"/>
        <v>737.71150679957782</v>
      </c>
      <c r="T37" s="47"/>
      <c r="U37" s="52">
        <f t="shared" si="11"/>
        <v>0</v>
      </c>
      <c r="V37" s="53">
        <f t="shared" si="6"/>
        <v>0</v>
      </c>
      <c r="W37" s="100">
        <v>22784.44</v>
      </c>
      <c r="Y37" s="98">
        <v>-1.6E-2</v>
      </c>
    </row>
    <row r="38" spans="2:26" s="41" customFormat="1" x14ac:dyDescent="0.25">
      <c r="B38" s="59">
        <f t="shared" si="7"/>
        <v>22800</v>
      </c>
      <c r="C38" s="54">
        <v>739.66</v>
      </c>
      <c r="D38" s="56">
        <f t="shared" ref="D38:D41" si="27">Z39</f>
        <v>-8.3893514717952658E-3</v>
      </c>
      <c r="E38" s="50">
        <v>7.32</v>
      </c>
      <c r="F38" s="51">
        <f t="shared" si="22"/>
        <v>-8.3893514717952658E-3</v>
      </c>
      <c r="G38" s="51"/>
      <c r="H38" s="51"/>
      <c r="I38" s="51"/>
      <c r="J38" s="51"/>
      <c r="K38" s="54">
        <f t="shared" si="20"/>
        <v>739.5985899472264</v>
      </c>
      <c r="L38" s="54"/>
      <c r="M38" s="57">
        <v>16</v>
      </c>
      <c r="N38" s="56">
        <v>-1.6E-2</v>
      </c>
      <c r="O38" s="54">
        <f t="shared" si="21"/>
        <v>739.34258994722643</v>
      </c>
      <c r="P38" s="54"/>
      <c r="Q38" s="57">
        <v>10</v>
      </c>
      <c r="R38" s="57">
        <v>-0.04</v>
      </c>
      <c r="S38" s="58">
        <f t="shared" si="1"/>
        <v>738.94258994722645</v>
      </c>
      <c r="T38" s="47"/>
      <c r="U38" s="52">
        <f t="shared" si="11"/>
        <v>0</v>
      </c>
      <c r="V38" s="53">
        <f t="shared" si="6"/>
        <v>7.6106485282047345E-3</v>
      </c>
      <c r="W38" s="100">
        <v>-1.6E-2</v>
      </c>
      <c r="Z38" s="42">
        <f>$W$38-(B38-$W$37)*$Z$17</f>
        <v>-1.3080333059692511E-2</v>
      </c>
    </row>
    <row r="39" spans="2:26" s="41" customFormat="1" x14ac:dyDescent="0.25">
      <c r="B39" s="59">
        <f t="shared" si="7"/>
        <v>22825</v>
      </c>
      <c r="C39" s="54">
        <v>740.91</v>
      </c>
      <c r="D39" s="56">
        <f t="shared" si="27"/>
        <v>-3.6983698838980224E-3</v>
      </c>
      <c r="E39" s="50">
        <v>7.82</v>
      </c>
      <c r="F39" s="51">
        <f t="shared" si="22"/>
        <v>-3.6983698838980224E-3</v>
      </c>
      <c r="G39" s="51"/>
      <c r="H39" s="51"/>
      <c r="I39" s="51"/>
      <c r="J39" s="51"/>
      <c r="K39" s="54">
        <f t="shared" si="20"/>
        <v>740.8810787475079</v>
      </c>
      <c r="L39" s="54"/>
      <c r="M39" s="57">
        <v>16</v>
      </c>
      <c r="N39" s="56">
        <f>N38</f>
        <v>-1.6E-2</v>
      </c>
      <c r="O39" s="54">
        <f t="shared" si="21"/>
        <v>740.62507874750793</v>
      </c>
      <c r="P39" s="54"/>
      <c r="Q39" s="57">
        <v>10</v>
      </c>
      <c r="R39" s="57">
        <v>-0.04</v>
      </c>
      <c r="S39" s="58">
        <f t="shared" si="1"/>
        <v>740.22507874750795</v>
      </c>
      <c r="T39" s="47"/>
      <c r="U39" s="52">
        <f t="shared" si="11"/>
        <v>0</v>
      </c>
      <c r="V39" s="53">
        <f t="shared" si="6"/>
        <v>1.2301630116101978E-2</v>
      </c>
      <c r="Z39" s="42">
        <f t="shared" ref="Z39:Z41" si="28">$W$38-(B39-$W$37)*$Z$17</f>
        <v>-8.3893514717952658E-3</v>
      </c>
    </row>
    <row r="40" spans="2:26" s="41" customFormat="1" x14ac:dyDescent="0.25">
      <c r="B40" s="59">
        <f t="shared" si="7"/>
        <v>22850</v>
      </c>
      <c r="C40" s="54">
        <v>742.16</v>
      </c>
      <c r="D40" s="56">
        <f t="shared" si="27"/>
        <v>1.1258355811200049E-5</v>
      </c>
      <c r="E40" s="50">
        <v>8.34</v>
      </c>
      <c r="F40" s="51">
        <f t="shared" si="22"/>
        <v>1.1258355811200049E-5</v>
      </c>
      <c r="G40" s="51"/>
      <c r="H40" s="51"/>
      <c r="I40" s="51"/>
      <c r="J40" s="51"/>
      <c r="K40" s="54">
        <f t="shared" si="20"/>
        <v>742.16009389468741</v>
      </c>
      <c r="L40" s="54"/>
      <c r="M40" s="57">
        <v>16</v>
      </c>
      <c r="N40" s="56">
        <f>N39</f>
        <v>-1.6E-2</v>
      </c>
      <c r="O40" s="54">
        <f t="shared" si="21"/>
        <v>741.90409389468743</v>
      </c>
      <c r="P40" s="54"/>
      <c r="Q40" s="57">
        <v>10</v>
      </c>
      <c r="R40" s="57">
        <v>-0.04</v>
      </c>
      <c r="S40" s="58">
        <f t="shared" si="1"/>
        <v>741.50409389468746</v>
      </c>
      <c r="T40" s="47"/>
      <c r="U40" s="52">
        <f t="shared" si="11"/>
        <v>0</v>
      </c>
      <c r="V40" s="53">
        <f t="shared" si="6"/>
        <v>1.60112583558112E-2</v>
      </c>
      <c r="Z40" s="42">
        <f t="shared" si="28"/>
        <v>-3.6983698838980224E-3</v>
      </c>
    </row>
    <row r="41" spans="2:26" s="41" customFormat="1" x14ac:dyDescent="0.25">
      <c r="B41" s="55">
        <v>22869.77</v>
      </c>
      <c r="C41" s="54">
        <v>743.14919999999995</v>
      </c>
      <c r="D41" s="56">
        <f t="shared" si="27"/>
        <v>0</v>
      </c>
      <c r="E41" s="50">
        <v>8.75</v>
      </c>
      <c r="F41" s="51">
        <f t="shared" si="22"/>
        <v>0</v>
      </c>
      <c r="G41" s="51"/>
      <c r="H41" s="51"/>
      <c r="I41" s="51"/>
      <c r="J41" s="51"/>
      <c r="K41" s="54">
        <f t="shared" si="20"/>
        <v>743.14919999999995</v>
      </c>
      <c r="L41" s="54"/>
      <c r="M41" s="57">
        <v>16</v>
      </c>
      <c r="N41" s="56">
        <f>N40</f>
        <v>-1.6E-2</v>
      </c>
      <c r="O41" s="54">
        <f t="shared" si="21"/>
        <v>742.89319999999998</v>
      </c>
      <c r="P41" s="54"/>
      <c r="Q41" s="57">
        <v>10</v>
      </c>
      <c r="R41" s="57">
        <v>-0.04</v>
      </c>
      <c r="S41" s="58">
        <f t="shared" si="1"/>
        <v>742.4932</v>
      </c>
      <c r="T41" s="47"/>
      <c r="U41" s="27">
        <f>N41-D41</f>
        <v>-1.6E-2</v>
      </c>
      <c r="V41" s="60">
        <v>0</v>
      </c>
      <c r="Z41" s="42">
        <f t="shared" si="28"/>
        <v>1.1258355811200049E-5</v>
      </c>
    </row>
    <row r="42" spans="2:26" s="41" customFormat="1" x14ac:dyDescent="0.25">
      <c r="B42" s="61" t="s">
        <v>34</v>
      </c>
      <c r="C42" s="16"/>
      <c r="D42" s="62"/>
      <c r="E42" s="12"/>
      <c r="F42" s="3"/>
      <c r="G42" s="3"/>
      <c r="H42" s="3"/>
      <c r="I42" s="3"/>
      <c r="J42" s="3"/>
      <c r="K42" s="3"/>
      <c r="L42" s="3"/>
      <c r="M42" s="3"/>
      <c r="N42" s="12"/>
      <c r="O42" s="63"/>
      <c r="P42" s="63"/>
      <c r="Q42" s="3"/>
      <c r="R42" s="3"/>
      <c r="S42" s="64"/>
      <c r="T42" s="47"/>
      <c r="U42" s="12"/>
      <c r="V42" s="48"/>
      <c r="X42" s="43"/>
      <c r="Y42" s="43"/>
    </row>
  </sheetData>
  <sheetProtection algorithmName="SHA-512" hashValue="tJJD2HMU8ttBrfr7G0GXJzshZG8xhOlxZF4sz95ulxwQrKdYDUaIJUowTWqwBPA9dpMvF5zWXScHbtpLz3w2Gg==" saltValue="gmkU3EbqoGQXA94w9DKc6Q==" spinCount="100000" sheet="1" objects="1" scenarios="1"/>
  <pageMargins left="0.7" right="0.7" top="0.75" bottom="0.75" header="0.3" footer="0.3"/>
  <pageSetup paperSize="17" scale="65" orientation="landscape" r:id="rId1"/>
  <colBreaks count="1" manualBreakCount="1">
    <brk id="1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E30" sqref="E30"/>
    </sheetView>
  </sheetViews>
  <sheetFormatPr defaultRowHeight="15" x14ac:dyDescent="0.25"/>
  <cols>
    <col min="1" max="1" width="13.85546875" style="9" customWidth="1"/>
    <col min="2" max="2" width="22.28515625" style="38" customWidth="1"/>
    <col min="3" max="4" width="9.140625" style="9"/>
    <col min="5" max="5" width="14.140625" style="9" customWidth="1"/>
    <col min="6" max="6" width="15.28515625" style="9" customWidth="1"/>
    <col min="7" max="7" width="35.42578125" style="9" customWidth="1"/>
    <col min="8" max="8" width="25.7109375" style="9" customWidth="1"/>
    <col min="9" max="9" width="27.5703125" style="9" customWidth="1"/>
    <col min="10" max="10" width="15.28515625" style="9" customWidth="1"/>
    <col min="11" max="12" width="9.140625" style="9"/>
    <col min="13" max="13" width="25.28515625" style="9" customWidth="1"/>
    <col min="14" max="14" width="11.5703125" style="9" customWidth="1"/>
    <col min="15" max="15" width="11.42578125" style="9" customWidth="1"/>
    <col min="16" max="16" width="12" style="9" customWidth="1"/>
    <col min="17" max="16384" width="9.140625" style="9"/>
  </cols>
  <sheetData>
    <row r="1" spans="1:9" x14ac:dyDescent="0.25">
      <c r="A1" s="65" t="s">
        <v>35</v>
      </c>
      <c r="B1" s="66"/>
      <c r="C1" s="67"/>
      <c r="D1" s="65"/>
      <c r="E1" s="65"/>
    </row>
    <row r="2" spans="1:9" ht="15.75" thickBot="1" x14ac:dyDescent="0.3"/>
    <row r="3" spans="1:9" ht="15.75" thickBot="1" x14ac:dyDescent="0.3">
      <c r="A3" s="68" t="s">
        <v>36</v>
      </c>
      <c r="B3" s="69"/>
      <c r="C3" s="70"/>
      <c r="D3" s="70"/>
      <c r="E3" s="70"/>
      <c r="F3" s="71"/>
      <c r="G3" s="70"/>
      <c r="H3" s="70"/>
      <c r="I3" s="72"/>
    </row>
    <row r="4" spans="1:9" x14ac:dyDescent="0.25">
      <c r="A4" s="5" t="s">
        <v>37</v>
      </c>
      <c r="B4" s="5" t="s">
        <v>37</v>
      </c>
      <c r="C4" s="34" t="s">
        <v>9</v>
      </c>
      <c r="D4" s="73"/>
      <c r="E4" s="74" t="s">
        <v>38</v>
      </c>
      <c r="F4" s="74" t="s">
        <v>39</v>
      </c>
      <c r="G4" s="75" t="s">
        <v>40</v>
      </c>
      <c r="H4" s="74" t="s">
        <v>11</v>
      </c>
      <c r="I4" s="76" t="s">
        <v>15</v>
      </c>
    </row>
    <row r="5" spans="1:9" x14ac:dyDescent="0.25">
      <c r="A5" s="77">
        <v>58866.3</v>
      </c>
      <c r="B5" s="78">
        <f>A5+E5</f>
        <v>58938.3</v>
      </c>
      <c r="C5" s="26">
        <v>1.6E-2</v>
      </c>
      <c r="D5" s="7">
        <v>0.04</v>
      </c>
      <c r="E5" s="79">
        <f>(((0.04-0.016)*12/0.4))*100</f>
        <v>72.000000000000014</v>
      </c>
      <c r="F5" s="79">
        <f>(D5-C5)/E5</f>
        <v>3.3333333333333327E-4</v>
      </c>
      <c r="G5" s="79">
        <v>1174.79</v>
      </c>
      <c r="H5" s="79">
        <v>12</v>
      </c>
      <c r="I5" s="80">
        <f>G5-(H5*C5)</f>
        <v>1174.598</v>
      </c>
    </row>
    <row r="6" spans="1:9" x14ac:dyDescent="0.25">
      <c r="A6" s="77">
        <v>58875</v>
      </c>
      <c r="B6" s="25"/>
      <c r="C6" s="26">
        <f>C5+(A6-A5)*F6</f>
        <v>1.8899999999999029E-2</v>
      </c>
      <c r="D6" s="7"/>
      <c r="E6" s="7"/>
      <c r="F6" s="79">
        <f>F5</f>
        <v>3.3333333333333327E-4</v>
      </c>
      <c r="G6" s="79">
        <v>1175.1500000000001</v>
      </c>
      <c r="H6" s="79">
        <v>12</v>
      </c>
      <c r="I6" s="80">
        <f>G6-(H6*C6)</f>
        <v>1174.9232000000002</v>
      </c>
    </row>
    <row r="7" spans="1:9" x14ac:dyDescent="0.25">
      <c r="A7" s="77">
        <f>A6+25</f>
        <v>58900</v>
      </c>
      <c r="B7" s="25"/>
      <c r="C7" s="26">
        <f t="shared" ref="C7:C8" si="0">C6+(A7-A6)*F7</f>
        <v>2.723333333333236E-2</v>
      </c>
      <c r="D7" s="7"/>
      <c r="E7" s="7"/>
      <c r="F7" s="79">
        <f t="shared" ref="F7:F8" si="1">F6</f>
        <v>3.3333333333333327E-4</v>
      </c>
      <c r="G7" s="79">
        <v>1175.46</v>
      </c>
      <c r="H7" s="79">
        <v>12</v>
      </c>
      <c r="I7" s="80">
        <f>G7-(H7*C7)</f>
        <v>1175.1332</v>
      </c>
    </row>
    <row r="8" spans="1:9" ht="15.75" thickBot="1" x14ac:dyDescent="0.3">
      <c r="A8" s="81">
        <f>B5</f>
        <v>58938.3</v>
      </c>
      <c r="B8" s="82"/>
      <c r="C8" s="83">
        <f t="shared" si="0"/>
        <v>3.9999999999999994E-2</v>
      </c>
      <c r="D8" s="8"/>
      <c r="E8" s="8"/>
      <c r="F8" s="84">
        <f t="shared" si="1"/>
        <v>3.3333333333333327E-4</v>
      </c>
      <c r="G8" s="84">
        <v>1175.68</v>
      </c>
      <c r="H8" s="84">
        <v>12</v>
      </c>
      <c r="I8" s="85">
        <f>G8-(H8*C8)</f>
        <v>1175.2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8"/>
  <sheetViews>
    <sheetView zoomScaleNormal="100" workbookViewId="0">
      <pane xSplit="8" ySplit="20" topLeftCell="I21" activePane="bottomRight" state="frozen"/>
      <selection pane="topRight" activeCell="I1" sqref="I1"/>
      <selection pane="bottomLeft" activeCell="A21" sqref="A21"/>
      <selection pane="bottomRight" activeCell="E22" sqref="E22"/>
    </sheetView>
  </sheetViews>
  <sheetFormatPr defaultRowHeight="15" x14ac:dyDescent="0.25"/>
  <cols>
    <col min="1" max="1" width="33.42578125" style="9" customWidth="1"/>
    <col min="2" max="3" width="21.140625" customWidth="1"/>
    <col min="4" max="4" width="10.7109375" customWidth="1"/>
    <col min="5" max="5" width="25.85546875" customWidth="1"/>
    <col min="6" max="6" width="9.140625" customWidth="1"/>
    <col min="7" max="7" width="10.5703125" customWidth="1"/>
    <col min="8" max="8" width="22" style="9" customWidth="1"/>
    <col min="9" max="9" width="12.85546875" customWidth="1"/>
    <col min="10" max="11" width="12.85546875" style="9" customWidth="1"/>
    <col min="12" max="12" width="25.42578125" customWidth="1"/>
    <col min="13" max="13" width="13.28515625" customWidth="1"/>
    <col min="14" max="14" width="9.140625" customWidth="1"/>
    <col min="15" max="15" width="14.5703125" customWidth="1"/>
    <col min="16" max="16" width="22.28515625" customWidth="1"/>
    <col min="17" max="20" width="22.28515625" style="9" customWidth="1"/>
    <col min="21" max="21" width="11.7109375" customWidth="1"/>
    <col min="22" max="22" width="26.28515625" customWidth="1"/>
    <col min="23" max="23" width="26.7109375" customWidth="1"/>
    <col min="24" max="24" width="31.42578125" customWidth="1"/>
    <col min="25" max="25" width="20.140625" style="299" customWidth="1"/>
    <col min="26" max="26" width="13.140625" customWidth="1"/>
    <col min="29" max="29" width="12.7109375" customWidth="1"/>
  </cols>
  <sheetData>
    <row r="1" spans="1:31" s="9" customFormat="1" x14ac:dyDescent="0.25">
      <c r="A1" s="7"/>
      <c r="B1" s="10" t="s">
        <v>1</v>
      </c>
      <c r="C1" s="263" t="s">
        <v>4</v>
      </c>
      <c r="D1" s="286" t="s">
        <v>8</v>
      </c>
      <c r="E1" s="264" t="s">
        <v>6</v>
      </c>
      <c r="F1" s="286" t="s">
        <v>8</v>
      </c>
      <c r="G1" s="263" t="s">
        <v>10</v>
      </c>
      <c r="H1" s="263" t="s">
        <v>10</v>
      </c>
      <c r="I1" s="263" t="s">
        <v>10</v>
      </c>
      <c r="J1" s="263" t="s">
        <v>10</v>
      </c>
      <c r="K1" s="263" t="s">
        <v>10</v>
      </c>
      <c r="L1" s="263" t="s">
        <v>12</v>
      </c>
      <c r="M1" s="263" t="s">
        <v>12</v>
      </c>
      <c r="N1" s="286" t="s">
        <v>8</v>
      </c>
      <c r="O1" s="263" t="s">
        <v>12</v>
      </c>
      <c r="P1" s="10" t="s">
        <v>2</v>
      </c>
      <c r="Q1" s="306"/>
      <c r="R1" s="306"/>
      <c r="S1" s="306"/>
      <c r="T1" s="306"/>
      <c r="U1" s="240"/>
      <c r="V1" s="287" t="s">
        <v>87</v>
      </c>
      <c r="W1" s="287" t="s">
        <v>10</v>
      </c>
      <c r="X1" s="287" t="s">
        <v>87</v>
      </c>
      <c r="Y1" s="299"/>
    </row>
    <row r="2" spans="1:31" s="9" customFormat="1" ht="30" x14ac:dyDescent="0.25">
      <c r="A2" s="7"/>
      <c r="B2" s="10"/>
      <c r="C2" s="263" t="s">
        <v>5</v>
      </c>
      <c r="D2" s="278" t="s">
        <v>84</v>
      </c>
      <c r="E2" s="264" t="s">
        <v>86</v>
      </c>
      <c r="F2" s="278" t="s">
        <v>85</v>
      </c>
      <c r="G2" s="265" t="s">
        <v>11</v>
      </c>
      <c r="H2" s="263" t="s">
        <v>80</v>
      </c>
      <c r="I2" s="263" t="s">
        <v>9</v>
      </c>
      <c r="J2" s="263" t="s">
        <v>11</v>
      </c>
      <c r="K2" s="263" t="s">
        <v>9</v>
      </c>
      <c r="L2" s="263" t="s">
        <v>13</v>
      </c>
      <c r="M2" s="263" t="s">
        <v>11</v>
      </c>
      <c r="N2" s="278" t="s">
        <v>85</v>
      </c>
      <c r="O2" s="263" t="s">
        <v>61</v>
      </c>
      <c r="P2" s="10" t="s">
        <v>14</v>
      </c>
      <c r="Q2" s="306"/>
      <c r="R2" s="306"/>
      <c r="S2" s="306"/>
      <c r="T2" s="306"/>
      <c r="U2" s="240"/>
      <c r="V2" s="287" t="s">
        <v>17</v>
      </c>
      <c r="W2" s="287" t="s">
        <v>88</v>
      </c>
      <c r="X2" s="287" t="s">
        <v>89</v>
      </c>
      <c r="Y2" s="300"/>
    </row>
    <row r="3" spans="1:3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65"/>
      <c r="R3" s="65"/>
      <c r="S3" s="65"/>
      <c r="T3" s="65"/>
    </row>
    <row r="4" spans="1:31" s="9" customFormat="1" x14ac:dyDescent="0.25">
      <c r="B4" s="284">
        <v>20675</v>
      </c>
      <c r="C4" s="285">
        <v>69260.126099999994</v>
      </c>
      <c r="D4" s="51">
        <v>1.6E-2</v>
      </c>
      <c r="E4" s="88">
        <f>'IR 71 SB TIE IN TO GREENLAWN BR'!$D$41</f>
        <v>717.51</v>
      </c>
      <c r="F4" s="51">
        <v>-1.6E-2</v>
      </c>
      <c r="G4" s="50">
        <v>17.600000000000001</v>
      </c>
      <c r="H4" s="50"/>
      <c r="I4" s="2"/>
      <c r="J4" s="2"/>
      <c r="K4" s="2"/>
      <c r="L4" s="52">
        <f>E4+(F4*G4)</f>
        <v>717.22839999999997</v>
      </c>
      <c r="M4" s="50">
        <v>24</v>
      </c>
      <c r="N4" s="51">
        <v>-1.6E-2</v>
      </c>
      <c r="O4" s="88">
        <f>L4+(N4*12)</f>
        <v>717.03639999999996</v>
      </c>
      <c r="P4" s="88">
        <f>O4+(12*N4)</f>
        <v>716.84439999999995</v>
      </c>
      <c r="Q4" s="307"/>
      <c r="R4" s="307"/>
      <c r="S4" s="307"/>
      <c r="T4" s="307"/>
      <c r="V4" s="243">
        <f>D4-F4</f>
        <v>3.2000000000000001E-2</v>
      </c>
      <c r="X4" s="251">
        <f>ABS(F4-N4)</f>
        <v>0</v>
      </c>
      <c r="Y4" s="299"/>
    </row>
    <row r="5" spans="1:31" s="9" customFormat="1" x14ac:dyDescent="0.25">
      <c r="B5" s="284">
        <f t="shared" ref="B5:B14" si="0">B4+25</f>
        <v>20700</v>
      </c>
      <c r="C5" s="285">
        <v>69285.121100000004</v>
      </c>
      <c r="D5" s="51">
        <f t="shared" ref="D5:D14" si="1">D4</f>
        <v>1.6E-2</v>
      </c>
      <c r="E5" s="88">
        <v>717.47</v>
      </c>
      <c r="F5" s="51">
        <f>F4</f>
        <v>-1.6E-2</v>
      </c>
      <c r="G5" s="50">
        <v>18.100000000000001</v>
      </c>
      <c r="H5" s="50"/>
      <c r="I5" s="2"/>
      <c r="J5" s="2"/>
      <c r="K5" s="2"/>
      <c r="L5" s="52">
        <f t="shared" ref="L5:L6" si="2">E5+(F5*G5)</f>
        <v>717.18040000000008</v>
      </c>
      <c r="M5" s="50">
        <v>24</v>
      </c>
      <c r="N5" s="51">
        <v>-1.6E-2</v>
      </c>
      <c r="O5" s="88">
        <f t="shared" ref="O5:O6" si="3">L5+(N5*12)</f>
        <v>716.98840000000007</v>
      </c>
      <c r="P5" s="52">
        <f t="shared" ref="P5:P6" si="4">O5+(12*N5)</f>
        <v>716.79640000000006</v>
      </c>
      <c r="Q5" s="308"/>
      <c r="R5" s="308"/>
      <c r="S5" s="308"/>
      <c r="T5" s="308"/>
      <c r="V5" s="243">
        <f>D5-F5</f>
        <v>3.2000000000000001E-2</v>
      </c>
      <c r="X5" s="251">
        <f>ABS(F5-N5)</f>
        <v>0</v>
      </c>
      <c r="Y5" s="299"/>
    </row>
    <row r="6" spans="1:31" s="9" customFormat="1" x14ac:dyDescent="0.25">
      <c r="B6" s="284">
        <f t="shared" si="0"/>
        <v>20725</v>
      </c>
      <c r="C6" s="285">
        <v>69310.096999999994</v>
      </c>
      <c r="D6" s="51">
        <f t="shared" si="1"/>
        <v>1.6E-2</v>
      </c>
      <c r="E6" s="88">
        <v>717.47</v>
      </c>
      <c r="F6" s="51">
        <f t="shared" ref="F6:F15" si="5">F5</f>
        <v>-1.6E-2</v>
      </c>
      <c r="G6" s="50">
        <v>18.59</v>
      </c>
      <c r="H6" s="50"/>
      <c r="I6" s="2"/>
      <c r="J6" s="2"/>
      <c r="K6" s="2"/>
      <c r="L6" s="52">
        <f t="shared" si="2"/>
        <v>717.17255999999998</v>
      </c>
      <c r="M6" s="50">
        <v>24</v>
      </c>
      <c r="N6" s="51">
        <v>-1.6E-2</v>
      </c>
      <c r="O6" s="88">
        <f t="shared" si="3"/>
        <v>716.98055999999997</v>
      </c>
      <c r="P6" s="52">
        <f t="shared" si="4"/>
        <v>716.78855999999996</v>
      </c>
      <c r="Q6" s="308"/>
      <c r="R6" s="308"/>
      <c r="S6" s="308"/>
      <c r="T6" s="308"/>
      <c r="V6" s="243">
        <f>D6-F6</f>
        <v>3.2000000000000001E-2</v>
      </c>
      <c r="X6" s="251">
        <f>ABS(F6-N6)</f>
        <v>0</v>
      </c>
      <c r="Y6" s="299"/>
    </row>
    <row r="7" spans="1:31" s="184" customFormat="1" x14ac:dyDescent="0.25">
      <c r="A7" s="277"/>
      <c r="B7" s="268">
        <f t="shared" si="0"/>
        <v>20750</v>
      </c>
      <c r="C7" s="114">
        <v>69335.040500000003</v>
      </c>
      <c r="D7" s="246">
        <f t="shared" si="1"/>
        <v>1.6E-2</v>
      </c>
      <c r="E7" s="115">
        <v>717.5</v>
      </c>
      <c r="F7" s="246">
        <f t="shared" si="5"/>
        <v>-1.6E-2</v>
      </c>
      <c r="G7" s="281">
        <v>13</v>
      </c>
      <c r="H7" s="281">
        <f t="shared" ref="H7:H15" si="6">E7+(G7*F7)</f>
        <v>717.29200000000003</v>
      </c>
      <c r="I7" s="246">
        <v>1.5699999999999999E-2</v>
      </c>
      <c r="J7" s="246">
        <v>6.04</v>
      </c>
      <c r="K7" s="246"/>
      <c r="L7" s="288">
        <f>H7-(J7*I7)</f>
        <v>717.19717200000002</v>
      </c>
      <c r="M7" s="281">
        <v>24</v>
      </c>
      <c r="N7" s="246">
        <v>-1.6E-2</v>
      </c>
      <c r="O7" s="115">
        <f>L7+(N7*12)</f>
        <v>717.00517200000002</v>
      </c>
      <c r="P7" s="288">
        <f>O7+(N7*12)</f>
        <v>716.81317200000001</v>
      </c>
      <c r="Q7" s="309"/>
      <c r="R7" s="309"/>
      <c r="S7" s="309"/>
      <c r="T7" s="309"/>
      <c r="U7" s="245"/>
      <c r="V7" s="282">
        <f t="shared" ref="V7:V15" si="7">D7-F7</f>
        <v>3.2000000000000001E-2</v>
      </c>
      <c r="W7" s="283">
        <f t="shared" ref="W7:W15" si="8">ABS(I7-F7)</f>
        <v>3.1699999999999999E-2</v>
      </c>
      <c r="X7" s="283">
        <f t="shared" ref="X7:X15" si="9">ABS(I7-N7)</f>
        <v>3.1699999999999999E-2</v>
      </c>
      <c r="Y7" s="298"/>
    </row>
    <row r="8" spans="1:31" s="9" customFormat="1" x14ac:dyDescent="0.25">
      <c r="A8" s="7"/>
      <c r="B8" s="266">
        <f t="shared" si="0"/>
        <v>20775</v>
      </c>
      <c r="C8" s="267">
        <v>69359.985000000001</v>
      </c>
      <c r="D8" s="2">
        <f t="shared" si="1"/>
        <v>1.6E-2</v>
      </c>
      <c r="E8" s="13">
        <v>717.58</v>
      </c>
      <c r="F8" s="51">
        <f t="shared" si="5"/>
        <v>-1.6E-2</v>
      </c>
      <c r="G8" s="50">
        <v>13</v>
      </c>
      <c r="H8" s="50">
        <f t="shared" si="6"/>
        <v>717.37200000000007</v>
      </c>
      <c r="I8" s="2">
        <v>1.5699999999999999E-2</v>
      </c>
      <c r="J8" s="2">
        <v>6.44</v>
      </c>
      <c r="K8" s="2"/>
      <c r="L8" s="39">
        <f>H8-(J8*I8)</f>
        <v>717.27089200000012</v>
      </c>
      <c r="M8" s="50">
        <v>24</v>
      </c>
      <c r="N8" s="51">
        <v>-1.6E-2</v>
      </c>
      <c r="O8" s="54">
        <f>L8+(N8*12)</f>
        <v>717.07889200000011</v>
      </c>
      <c r="P8" s="289">
        <f>O8+(N8*12)</f>
        <v>716.8868920000001</v>
      </c>
      <c r="Q8" s="310"/>
      <c r="R8" s="310"/>
      <c r="S8" s="310"/>
      <c r="T8" s="310"/>
      <c r="V8" s="243">
        <f t="shared" si="7"/>
        <v>3.2000000000000001E-2</v>
      </c>
      <c r="W8" s="251">
        <f t="shared" si="8"/>
        <v>3.1699999999999999E-2</v>
      </c>
      <c r="X8" s="251">
        <f t="shared" si="9"/>
        <v>3.1699999999999999E-2</v>
      </c>
      <c r="Y8" s="299"/>
    </row>
    <row r="9" spans="1:31" s="9" customFormat="1" x14ac:dyDescent="0.25">
      <c r="A9" s="279" t="s">
        <v>79</v>
      </c>
      <c r="B9" s="266">
        <f t="shared" si="0"/>
        <v>20800</v>
      </c>
      <c r="C9" s="267">
        <v>69384.930300000007</v>
      </c>
      <c r="D9" s="2">
        <f t="shared" si="1"/>
        <v>1.6E-2</v>
      </c>
      <c r="E9" s="13">
        <v>717.7</v>
      </c>
      <c r="F9" s="51">
        <f t="shared" si="5"/>
        <v>-1.6E-2</v>
      </c>
      <c r="G9" s="50">
        <v>13</v>
      </c>
      <c r="H9" s="50">
        <f t="shared" si="6"/>
        <v>717.49200000000008</v>
      </c>
      <c r="I9" s="2">
        <v>1.5699999999999999E-2</v>
      </c>
      <c r="J9" s="2">
        <v>6.78</v>
      </c>
      <c r="K9" s="2"/>
      <c r="L9" s="39">
        <f t="shared" ref="L9:L15" si="10">H9-(J9*I9)</f>
        <v>717.38555400000007</v>
      </c>
      <c r="M9" s="50">
        <v>24</v>
      </c>
      <c r="N9" s="51">
        <v>-1.6E-2</v>
      </c>
      <c r="O9" s="54">
        <f t="shared" ref="O9:O15" si="11">L9+(N9*12)</f>
        <v>717.19355400000006</v>
      </c>
      <c r="P9" s="289">
        <f t="shared" ref="P9:P15" si="12">O9+(N9*12)</f>
        <v>717.00155400000006</v>
      </c>
      <c r="Q9" s="310"/>
      <c r="R9" s="310"/>
      <c r="S9" s="310"/>
      <c r="T9" s="310"/>
      <c r="V9" s="243">
        <f t="shared" si="7"/>
        <v>3.2000000000000001E-2</v>
      </c>
      <c r="W9" s="251">
        <f t="shared" si="8"/>
        <v>3.1699999999999999E-2</v>
      </c>
      <c r="X9" s="251">
        <f t="shared" si="9"/>
        <v>3.1699999999999999E-2</v>
      </c>
      <c r="Y9" s="299"/>
    </row>
    <row r="10" spans="1:31" s="9" customFormat="1" x14ac:dyDescent="0.25">
      <c r="A10" s="279" t="s">
        <v>90</v>
      </c>
      <c r="B10" s="266">
        <f t="shared" si="0"/>
        <v>20825</v>
      </c>
      <c r="C10" s="267">
        <v>69410.0864</v>
      </c>
      <c r="D10" s="2">
        <f t="shared" si="1"/>
        <v>1.6E-2</v>
      </c>
      <c r="E10" s="13">
        <v>717.84</v>
      </c>
      <c r="F10" s="51">
        <f t="shared" si="5"/>
        <v>-1.6E-2</v>
      </c>
      <c r="G10" s="50">
        <v>13</v>
      </c>
      <c r="H10" s="50">
        <f t="shared" si="6"/>
        <v>717.63200000000006</v>
      </c>
      <c r="I10" s="2">
        <v>1.5699999999999999E-2</v>
      </c>
      <c r="J10" s="2">
        <v>7.07</v>
      </c>
      <c r="K10" s="2"/>
      <c r="L10" s="39">
        <f t="shared" si="10"/>
        <v>717.52100100000007</v>
      </c>
      <c r="M10" s="50">
        <v>24</v>
      </c>
      <c r="N10" s="51">
        <v>-1.6E-2</v>
      </c>
      <c r="O10" s="54">
        <f t="shared" si="11"/>
        <v>717.32900100000006</v>
      </c>
      <c r="P10" s="289">
        <f t="shared" si="12"/>
        <v>717.13700100000005</v>
      </c>
      <c r="Q10" s="310"/>
      <c r="R10" s="310"/>
      <c r="S10" s="310"/>
      <c r="T10" s="310"/>
      <c r="V10" s="243">
        <f t="shared" si="7"/>
        <v>3.2000000000000001E-2</v>
      </c>
      <c r="W10" s="251">
        <f t="shared" si="8"/>
        <v>3.1699999999999999E-2</v>
      </c>
      <c r="X10" s="251">
        <f t="shared" si="9"/>
        <v>3.1699999999999999E-2</v>
      </c>
      <c r="Y10" s="299"/>
    </row>
    <row r="11" spans="1:31" s="184" customFormat="1" x14ac:dyDescent="0.25">
      <c r="A11" s="280" t="s">
        <v>83</v>
      </c>
      <c r="B11" s="269">
        <f t="shared" si="0"/>
        <v>20850</v>
      </c>
      <c r="C11" s="270">
        <v>69434.822799999994</v>
      </c>
      <c r="D11" s="271">
        <f t="shared" si="1"/>
        <v>1.6E-2</v>
      </c>
      <c r="E11" s="272">
        <v>717.99</v>
      </c>
      <c r="F11" s="271">
        <f t="shared" si="5"/>
        <v>-1.6E-2</v>
      </c>
      <c r="G11" s="273">
        <v>13</v>
      </c>
      <c r="H11" s="273">
        <f t="shared" si="6"/>
        <v>717.78200000000004</v>
      </c>
      <c r="I11" s="271">
        <v>1.5699999999999999E-2</v>
      </c>
      <c r="J11" s="271">
        <v>7.31</v>
      </c>
      <c r="K11" s="271"/>
      <c r="L11" s="290">
        <f t="shared" si="10"/>
        <v>717.66723300000001</v>
      </c>
      <c r="M11" s="273">
        <v>24</v>
      </c>
      <c r="N11" s="271">
        <v>-1.6E-2</v>
      </c>
      <c r="O11" s="272">
        <f t="shared" si="11"/>
        <v>717.475233</v>
      </c>
      <c r="P11" s="290">
        <f t="shared" si="12"/>
        <v>717.283233</v>
      </c>
      <c r="Q11" s="311"/>
      <c r="R11" s="311"/>
      <c r="S11" s="311"/>
      <c r="T11" s="311"/>
      <c r="U11" s="274"/>
      <c r="V11" s="275">
        <f t="shared" si="7"/>
        <v>3.2000000000000001E-2</v>
      </c>
      <c r="W11" s="276">
        <f t="shared" si="8"/>
        <v>3.1699999999999999E-2</v>
      </c>
      <c r="X11" s="276">
        <f t="shared" si="9"/>
        <v>3.1699999999999999E-2</v>
      </c>
      <c r="Y11" s="298"/>
    </row>
    <row r="12" spans="1:31" s="9" customFormat="1" x14ac:dyDescent="0.25">
      <c r="A12" s="7"/>
      <c r="B12" s="266">
        <f t="shared" si="0"/>
        <v>20875</v>
      </c>
      <c r="C12" s="267">
        <v>69459.894799999995</v>
      </c>
      <c r="D12" s="2">
        <f t="shared" si="1"/>
        <v>1.6E-2</v>
      </c>
      <c r="E12" s="13">
        <v>718.15</v>
      </c>
      <c r="F12" s="51">
        <f t="shared" si="5"/>
        <v>-1.6E-2</v>
      </c>
      <c r="G12" s="50">
        <v>13</v>
      </c>
      <c r="H12" s="50">
        <f t="shared" si="6"/>
        <v>717.94200000000001</v>
      </c>
      <c r="I12" s="2">
        <v>1.5699999999999999E-2</v>
      </c>
      <c r="J12" s="2">
        <v>7.49</v>
      </c>
      <c r="K12" s="2"/>
      <c r="L12" s="39">
        <f t="shared" si="10"/>
        <v>717.82440699999995</v>
      </c>
      <c r="M12" s="50">
        <v>24</v>
      </c>
      <c r="N12" s="51">
        <v>-1.6E-2</v>
      </c>
      <c r="O12" s="54">
        <f t="shared" si="11"/>
        <v>717.63240699999994</v>
      </c>
      <c r="P12" s="289">
        <f t="shared" si="12"/>
        <v>717.44040699999994</v>
      </c>
      <c r="Q12" s="310"/>
      <c r="R12" s="310"/>
      <c r="S12" s="310"/>
      <c r="T12" s="310"/>
      <c r="V12" s="243">
        <f t="shared" si="7"/>
        <v>3.2000000000000001E-2</v>
      </c>
      <c r="W12" s="251">
        <f t="shared" si="8"/>
        <v>3.1699999999999999E-2</v>
      </c>
      <c r="X12" s="251">
        <f t="shared" si="9"/>
        <v>3.1699999999999999E-2</v>
      </c>
      <c r="Y12" s="299"/>
    </row>
    <row r="13" spans="1:31" s="9" customFormat="1" x14ac:dyDescent="0.25">
      <c r="A13" s="7"/>
      <c r="B13" s="266">
        <f t="shared" si="0"/>
        <v>20900</v>
      </c>
      <c r="C13" s="267">
        <v>69484.618900000001</v>
      </c>
      <c r="D13" s="2">
        <f t="shared" si="1"/>
        <v>1.6E-2</v>
      </c>
      <c r="E13" s="13">
        <v>718.3</v>
      </c>
      <c r="F13" s="51">
        <f t="shared" si="5"/>
        <v>-1.6E-2</v>
      </c>
      <c r="G13" s="50">
        <v>13</v>
      </c>
      <c r="H13" s="51">
        <f t="shared" si="6"/>
        <v>718.09199999999998</v>
      </c>
      <c r="I13" s="2">
        <v>1.4218E-2</v>
      </c>
      <c r="J13" s="2">
        <v>7.61</v>
      </c>
      <c r="K13" s="2"/>
      <c r="L13" s="39">
        <f t="shared" si="10"/>
        <v>717.98380101999999</v>
      </c>
      <c r="M13" s="50">
        <v>24</v>
      </c>
      <c r="N13" s="51">
        <v>-1.6E-2</v>
      </c>
      <c r="O13" s="54">
        <f t="shared" si="11"/>
        <v>717.79180101999998</v>
      </c>
      <c r="P13" s="289">
        <f t="shared" si="12"/>
        <v>717.59980101999997</v>
      </c>
      <c r="Q13" s="310"/>
      <c r="R13" s="310"/>
      <c r="S13" s="310"/>
      <c r="T13" s="310"/>
      <c r="V13" s="243">
        <f t="shared" si="7"/>
        <v>3.2000000000000001E-2</v>
      </c>
      <c r="W13" s="251">
        <f t="shared" si="8"/>
        <v>3.0218000000000002E-2</v>
      </c>
      <c r="X13" s="251">
        <f t="shared" si="9"/>
        <v>3.0218000000000002E-2</v>
      </c>
      <c r="Y13" s="299"/>
    </row>
    <row r="14" spans="1:31" s="9" customFormat="1" x14ac:dyDescent="0.25">
      <c r="A14" s="7"/>
      <c r="B14" s="266">
        <f t="shared" si="0"/>
        <v>20925</v>
      </c>
      <c r="C14" s="267">
        <v>69509.664600000004</v>
      </c>
      <c r="D14" s="2">
        <f t="shared" si="1"/>
        <v>1.6E-2</v>
      </c>
      <c r="E14" s="13">
        <v>718.45</v>
      </c>
      <c r="F14" s="51">
        <f t="shared" si="5"/>
        <v>-1.6E-2</v>
      </c>
      <c r="G14" s="50">
        <v>13</v>
      </c>
      <c r="H14" s="50">
        <f t="shared" si="6"/>
        <v>718.24200000000008</v>
      </c>
      <c r="I14" s="2">
        <v>1.2813E-2</v>
      </c>
      <c r="J14" s="2">
        <v>7.68</v>
      </c>
      <c r="K14" s="2"/>
      <c r="L14" s="39">
        <f t="shared" si="10"/>
        <v>718.14359616000013</v>
      </c>
      <c r="M14" s="50">
        <v>24</v>
      </c>
      <c r="N14" s="51">
        <v>-1.6E-2</v>
      </c>
      <c r="O14" s="54">
        <f t="shared" si="11"/>
        <v>717.95159616000012</v>
      </c>
      <c r="P14" s="289">
        <f t="shared" si="12"/>
        <v>717.75959616000011</v>
      </c>
      <c r="Q14" s="310"/>
      <c r="R14" s="310"/>
      <c r="S14" s="310"/>
      <c r="T14" s="310"/>
      <c r="V14" s="243">
        <f t="shared" si="7"/>
        <v>3.2000000000000001E-2</v>
      </c>
      <c r="W14" s="251">
        <f t="shared" si="8"/>
        <v>2.8812999999999998E-2</v>
      </c>
      <c r="X14" s="251">
        <f t="shared" si="9"/>
        <v>2.8812999999999998E-2</v>
      </c>
      <c r="Y14" s="299"/>
    </row>
    <row r="15" spans="1:31" s="9" customFormat="1" x14ac:dyDescent="0.25">
      <c r="A15" s="7"/>
      <c r="B15" s="269">
        <v>20944.973000000002</v>
      </c>
      <c r="C15" s="270">
        <v>69529.595799999996</v>
      </c>
      <c r="D15" s="271">
        <f>D14</f>
        <v>1.6E-2</v>
      </c>
      <c r="E15" s="272">
        <v>718.57</v>
      </c>
      <c r="F15" s="271">
        <f t="shared" si="5"/>
        <v>-1.6E-2</v>
      </c>
      <c r="G15" s="273">
        <v>13</v>
      </c>
      <c r="H15" s="273">
        <f t="shared" si="6"/>
        <v>718.36200000000008</v>
      </c>
      <c r="I15" s="271">
        <v>1.1780000000000001E-2</v>
      </c>
      <c r="J15" s="271">
        <v>7.7</v>
      </c>
      <c r="K15" s="271"/>
      <c r="L15" s="290">
        <f t="shared" si="10"/>
        <v>718.27129400000013</v>
      </c>
      <c r="M15" s="273">
        <v>24</v>
      </c>
      <c r="N15" s="271">
        <v>-1.6E-2</v>
      </c>
      <c r="O15" s="272">
        <f t="shared" si="11"/>
        <v>718.07929400000012</v>
      </c>
      <c r="P15" s="290">
        <f t="shared" si="12"/>
        <v>717.88729400000011</v>
      </c>
      <c r="Q15" s="311"/>
      <c r="R15" s="311"/>
      <c r="S15" s="311"/>
      <c r="T15" s="311"/>
      <c r="U15" s="274"/>
      <c r="V15" s="275">
        <f t="shared" si="7"/>
        <v>3.2000000000000001E-2</v>
      </c>
      <c r="W15" s="276">
        <f t="shared" si="8"/>
        <v>2.7779999999999999E-2</v>
      </c>
      <c r="X15" s="276">
        <f t="shared" si="9"/>
        <v>2.7779999999999999E-2</v>
      </c>
      <c r="Y15" s="299"/>
    </row>
    <row r="16" spans="1:31" x14ac:dyDescent="0.25">
      <c r="F16" s="242" t="s">
        <v>93</v>
      </c>
      <c r="H16" s="242" t="s">
        <v>92</v>
      </c>
      <c r="I16" s="242" t="s">
        <v>92</v>
      </c>
      <c r="J16" s="242" t="s">
        <v>93</v>
      </c>
      <c r="K16" s="242" t="s">
        <v>93</v>
      </c>
      <c r="P16" s="242" t="s">
        <v>98</v>
      </c>
      <c r="Q16" s="242"/>
      <c r="R16" s="242"/>
      <c r="S16" s="242" t="s">
        <v>9</v>
      </c>
      <c r="T16" s="242" t="s">
        <v>98</v>
      </c>
      <c r="Y16" s="299" t="s">
        <v>101</v>
      </c>
      <c r="Z16" t="s">
        <v>99</v>
      </c>
      <c r="AA16" t="s">
        <v>47</v>
      </c>
      <c r="AC16" s="299" t="s">
        <v>101</v>
      </c>
      <c r="AD16" s="9" t="s">
        <v>99</v>
      </c>
      <c r="AE16" s="9" t="s">
        <v>47</v>
      </c>
    </row>
    <row r="17" spans="1:31" x14ac:dyDescent="0.25">
      <c r="F17" s="242" t="s">
        <v>96</v>
      </c>
      <c r="H17" s="242" t="s">
        <v>97</v>
      </c>
      <c r="I17" s="242" t="s">
        <v>94</v>
      </c>
      <c r="J17" s="242" t="s">
        <v>95</v>
      </c>
      <c r="K17" s="242" t="s">
        <v>11</v>
      </c>
      <c r="P17" s="242" t="s">
        <v>14</v>
      </c>
      <c r="Q17" s="242"/>
      <c r="R17" s="242"/>
      <c r="S17" s="242"/>
      <c r="T17" s="242" t="s">
        <v>14</v>
      </c>
      <c r="Z17" t="s">
        <v>100</v>
      </c>
      <c r="AC17" s="299"/>
      <c r="AD17" s="9" t="s">
        <v>100</v>
      </c>
      <c r="AE17" s="9"/>
    </row>
    <row r="18" spans="1:31" s="184" customFormat="1" x14ac:dyDescent="0.25">
      <c r="A18" s="277" t="s">
        <v>91</v>
      </c>
      <c r="B18" s="297">
        <v>20950</v>
      </c>
      <c r="C18" s="267">
        <v>69534.62</v>
      </c>
      <c r="D18" s="294">
        <f t="shared" ref="D18:D68" si="13">D17</f>
        <v>0</v>
      </c>
      <c r="E18" s="13">
        <v>718.61</v>
      </c>
      <c r="F18" s="294">
        <f>Z19*-1</f>
        <v>-1.7721142857143008E-2</v>
      </c>
      <c r="G18" s="179">
        <v>13</v>
      </c>
      <c r="H18" s="179">
        <f>ROUND(E18+(G18*F18),2)</f>
        <v>718.38</v>
      </c>
      <c r="I18" s="13">
        <f>L18+(J18*K18)</f>
        <v>718.20393337774817</v>
      </c>
      <c r="J18" s="294">
        <f>AD19*-1</f>
        <v>-2.0013324450366715E-2</v>
      </c>
      <c r="K18" s="294">
        <v>5</v>
      </c>
      <c r="L18" s="39">
        <f t="shared" ref="L18:L28" si="14">P18-(M18*N18)</f>
        <v>718.30399999999997</v>
      </c>
      <c r="M18" s="179">
        <v>24</v>
      </c>
      <c r="N18" s="294">
        <v>-1.6E-2</v>
      </c>
      <c r="O18" s="13">
        <f t="shared" ref="O18:O28" si="15">L18+(N18*12)</f>
        <v>718.11199999999997</v>
      </c>
      <c r="P18" s="39">
        <v>717.92</v>
      </c>
      <c r="Q18" s="198"/>
      <c r="R18" s="198"/>
      <c r="S18" s="198"/>
      <c r="T18" s="198"/>
      <c r="V18" s="295">
        <f t="shared" ref="V18:V28" si="16">D18-F18</f>
        <v>1.7721142857143008E-2</v>
      </c>
      <c r="W18" s="296">
        <f t="shared" ref="W18:W28" si="17">ABS(I18-F18)</f>
        <v>718.22165452060528</v>
      </c>
      <c r="X18" s="296">
        <f t="shared" ref="X18:X38" si="18">ABS(I18-N18)</f>
        <v>718.21993337774813</v>
      </c>
      <c r="Y18" s="298">
        <v>20944.98</v>
      </c>
      <c r="Z18" s="184">
        <v>1.6E-2</v>
      </c>
      <c r="AA18" s="184">
        <f>(Z22-Z18)/(Y22-Y18)</f>
        <v>3.4285714285714285E-4</v>
      </c>
      <c r="AC18" s="298">
        <v>20944.98</v>
      </c>
      <c r="AD18" s="184">
        <v>1.6E-2</v>
      </c>
      <c r="AE18" s="184">
        <f>(AD20-AD18)/(AC20-AC18)</f>
        <v>7.9946702198533152E-4</v>
      </c>
    </row>
    <row r="19" spans="1:31" s="184" customFormat="1" x14ac:dyDescent="0.25">
      <c r="A19" s="277"/>
      <c r="B19" s="293">
        <v>20975</v>
      </c>
      <c r="C19" s="267">
        <v>69559.62</v>
      </c>
      <c r="D19" s="294">
        <f t="shared" si="13"/>
        <v>0</v>
      </c>
      <c r="E19" s="13">
        <v>718.75</v>
      </c>
      <c r="F19" s="294">
        <f>Z20*-1</f>
        <v>-2.6292571428571582E-2</v>
      </c>
      <c r="G19" s="179">
        <v>13</v>
      </c>
      <c r="H19" s="179">
        <f>ROUND(E19+(G19*F19),2)</f>
        <v>718.41</v>
      </c>
      <c r="I19" s="13">
        <f t="shared" ref="I19" si="19">L19+(J19*K19)</f>
        <v>718.26400000000001</v>
      </c>
      <c r="J19" s="294">
        <v>-0.04</v>
      </c>
      <c r="K19" s="294">
        <v>5</v>
      </c>
      <c r="L19" s="39">
        <f t="shared" si="14"/>
        <v>718.46400000000006</v>
      </c>
      <c r="M19" s="179">
        <v>24</v>
      </c>
      <c r="N19" s="294">
        <v>-1.6E-2</v>
      </c>
      <c r="O19" s="13">
        <f t="shared" si="15"/>
        <v>718.27200000000005</v>
      </c>
      <c r="P19" s="39">
        <v>718.08</v>
      </c>
      <c r="Q19" s="198"/>
      <c r="R19" s="198"/>
      <c r="S19" s="198"/>
      <c r="T19" s="198"/>
      <c r="V19" s="295">
        <f t="shared" si="16"/>
        <v>2.6292571428571582E-2</v>
      </c>
      <c r="W19" s="296">
        <f t="shared" si="17"/>
        <v>718.29029257142861</v>
      </c>
      <c r="X19" s="296">
        <f t="shared" si="18"/>
        <v>718.28</v>
      </c>
      <c r="Y19" s="298">
        <v>20950</v>
      </c>
      <c r="Z19" s="301">
        <f>((Y19-Y18)*AA19)+Z18</f>
        <v>1.7721142857143008E-2</v>
      </c>
      <c r="AA19" s="184">
        <f>AA18</f>
        <v>3.4285714285714285E-4</v>
      </c>
      <c r="AC19" s="298">
        <v>20950</v>
      </c>
      <c r="AD19" s="301">
        <f>((AC19-AC18)*AE18)+AD18</f>
        <v>2.0013324450366715E-2</v>
      </c>
    </row>
    <row r="20" spans="1:31" s="184" customFormat="1" x14ac:dyDescent="0.25">
      <c r="A20" s="277"/>
      <c r="B20" s="293">
        <v>21000</v>
      </c>
      <c r="C20" s="267">
        <v>69584.62</v>
      </c>
      <c r="D20" s="294">
        <f t="shared" si="13"/>
        <v>0</v>
      </c>
      <c r="E20" s="13">
        <v>718.9</v>
      </c>
      <c r="F20" s="294">
        <f>Z21*-1</f>
        <v>-3.4864000000000152E-2</v>
      </c>
      <c r="G20" s="179">
        <v>13</v>
      </c>
      <c r="H20" s="179">
        <f>ROUND(E20+(G20*F20),2)</f>
        <v>718.45</v>
      </c>
      <c r="I20" s="13">
        <f t="shared" ref="I20:I28" si="20">L20+(J20*K20)</f>
        <v>718.43399999999997</v>
      </c>
      <c r="J20" s="294">
        <v>-0.04</v>
      </c>
      <c r="K20" s="294">
        <v>5</v>
      </c>
      <c r="L20" s="39">
        <f t="shared" si="14"/>
        <v>718.63400000000001</v>
      </c>
      <c r="M20" s="179">
        <v>24</v>
      </c>
      <c r="N20" s="294">
        <v>-1.6E-2</v>
      </c>
      <c r="O20" s="13">
        <f t="shared" si="15"/>
        <v>718.44200000000001</v>
      </c>
      <c r="P20" s="39">
        <v>718.25</v>
      </c>
      <c r="Q20" s="198"/>
      <c r="R20" s="198"/>
      <c r="S20" s="198"/>
      <c r="T20" s="198"/>
      <c r="V20" s="295">
        <f t="shared" si="16"/>
        <v>3.4864000000000152E-2</v>
      </c>
      <c r="W20" s="296">
        <f t="shared" si="17"/>
        <v>718.46886399999994</v>
      </c>
      <c r="X20" s="296">
        <f t="shared" si="18"/>
        <v>718.44999999999993</v>
      </c>
      <c r="Y20" s="298">
        <f>Y19+25</f>
        <v>20975</v>
      </c>
      <c r="Z20" s="301">
        <f>((Y20-Y19)*AA20)+Z19</f>
        <v>2.6292571428571582E-2</v>
      </c>
      <c r="AA20" s="184">
        <f>AA19</f>
        <v>3.4285714285714285E-4</v>
      </c>
      <c r="AC20" s="298">
        <f>AC19+25</f>
        <v>20975</v>
      </c>
      <c r="AD20" s="301">
        <v>0.04</v>
      </c>
    </row>
    <row r="21" spans="1:31" s="184" customFormat="1" x14ac:dyDescent="0.25">
      <c r="A21" s="277"/>
      <c r="B21" s="293">
        <f>B20+25</f>
        <v>21025</v>
      </c>
      <c r="C21" s="267">
        <v>69609.62</v>
      </c>
      <c r="D21" s="294">
        <f t="shared" si="13"/>
        <v>0</v>
      </c>
      <c r="E21" s="13">
        <v>719.08</v>
      </c>
      <c r="F21" s="294">
        <v>-0.04</v>
      </c>
      <c r="G21" s="179">
        <v>13</v>
      </c>
      <c r="H21" s="179">
        <f t="shared" ref="H21:H28" si="21">E21+(G21*F21)</f>
        <v>718.56000000000006</v>
      </c>
      <c r="I21" s="13">
        <f t="shared" si="20"/>
        <v>718.61399999999992</v>
      </c>
      <c r="J21" s="294">
        <v>-0.04</v>
      </c>
      <c r="K21" s="294">
        <v>5</v>
      </c>
      <c r="L21" s="39">
        <f t="shared" si="14"/>
        <v>718.81399999999996</v>
      </c>
      <c r="M21" s="179">
        <v>24</v>
      </c>
      <c r="N21" s="294">
        <v>-1.6E-2</v>
      </c>
      <c r="O21" s="13">
        <f t="shared" si="15"/>
        <v>718.62199999999996</v>
      </c>
      <c r="P21" s="39">
        <v>718.43</v>
      </c>
      <c r="Q21" s="198"/>
      <c r="R21" s="198"/>
      <c r="S21" s="198"/>
      <c r="T21" s="198"/>
      <c r="V21" s="295">
        <f t="shared" si="16"/>
        <v>0.04</v>
      </c>
      <c r="W21" s="296">
        <f t="shared" si="17"/>
        <v>718.65399999999988</v>
      </c>
      <c r="X21" s="296">
        <f t="shared" si="18"/>
        <v>718.62999999999988</v>
      </c>
      <c r="Y21" s="298">
        <f t="shared" ref="Y21" si="22">Y20+25</f>
        <v>21000</v>
      </c>
      <c r="Z21" s="301">
        <f>((Y21-Y20)*AA21)+Z20</f>
        <v>3.4864000000000152E-2</v>
      </c>
      <c r="AA21" s="184">
        <f>AA20</f>
        <v>3.4285714285714285E-4</v>
      </c>
      <c r="AC21" s="298"/>
      <c r="AD21" s="301"/>
    </row>
    <row r="22" spans="1:31" s="184" customFormat="1" x14ac:dyDescent="0.25">
      <c r="A22" s="277"/>
      <c r="B22" s="293">
        <f t="shared" ref="B22:B28" si="23">B21+25</f>
        <v>21050</v>
      </c>
      <c r="C22" s="267">
        <v>69634.62</v>
      </c>
      <c r="D22" s="294">
        <f t="shared" si="13"/>
        <v>0</v>
      </c>
      <c r="E22" s="13">
        <v>719.22</v>
      </c>
      <c r="F22" s="294">
        <v>-0.04</v>
      </c>
      <c r="G22" s="179">
        <v>13</v>
      </c>
      <c r="H22" s="179">
        <f t="shared" si="21"/>
        <v>718.7</v>
      </c>
      <c r="I22" s="13">
        <f t="shared" si="20"/>
        <v>718.80399999999997</v>
      </c>
      <c r="J22" s="294">
        <v>-0.04</v>
      </c>
      <c r="K22" s="294">
        <v>5</v>
      </c>
      <c r="L22" s="39">
        <f t="shared" si="14"/>
        <v>719.00400000000002</v>
      </c>
      <c r="M22" s="179">
        <v>24</v>
      </c>
      <c r="N22" s="294">
        <v>-1.6E-2</v>
      </c>
      <c r="O22" s="13">
        <f t="shared" si="15"/>
        <v>718.81200000000001</v>
      </c>
      <c r="P22" s="39">
        <v>718.62</v>
      </c>
      <c r="Q22" s="198"/>
      <c r="R22" s="198"/>
      <c r="S22" s="198"/>
      <c r="T22" s="198"/>
      <c r="V22" s="295">
        <f t="shared" si="16"/>
        <v>0.04</v>
      </c>
      <c r="W22" s="296">
        <f t="shared" si="17"/>
        <v>718.84399999999994</v>
      </c>
      <c r="X22" s="296">
        <f t="shared" si="18"/>
        <v>718.81999999999994</v>
      </c>
      <c r="Y22" s="298">
        <v>21014.98</v>
      </c>
      <c r="Z22" s="184">
        <v>0.04</v>
      </c>
      <c r="AA22" s="184">
        <f>AA21</f>
        <v>3.4285714285714285E-4</v>
      </c>
      <c r="AC22" s="298"/>
    </row>
    <row r="23" spans="1:31" s="184" customFormat="1" x14ac:dyDescent="0.25">
      <c r="A23" s="277"/>
      <c r="B23" s="293">
        <f t="shared" si="23"/>
        <v>21075</v>
      </c>
      <c r="C23" s="267">
        <v>69656.62</v>
      </c>
      <c r="D23" s="294">
        <f t="shared" si="13"/>
        <v>0</v>
      </c>
      <c r="E23" s="13">
        <v>719.34</v>
      </c>
      <c r="F23" s="294">
        <v>-0.04</v>
      </c>
      <c r="G23" s="179">
        <v>13</v>
      </c>
      <c r="H23" s="179">
        <f t="shared" si="21"/>
        <v>718.82</v>
      </c>
      <c r="I23" s="13">
        <f t="shared" si="20"/>
        <v>719.00400000000002</v>
      </c>
      <c r="J23" s="294">
        <v>-0.04</v>
      </c>
      <c r="K23" s="294">
        <v>5</v>
      </c>
      <c r="L23" s="39">
        <f t="shared" si="14"/>
        <v>719.20400000000006</v>
      </c>
      <c r="M23" s="179">
        <v>24</v>
      </c>
      <c r="N23" s="294">
        <v>-1.6E-2</v>
      </c>
      <c r="O23" s="13">
        <f t="shared" si="15"/>
        <v>719.01200000000006</v>
      </c>
      <c r="P23" s="39">
        <v>718.82</v>
      </c>
      <c r="Q23" s="198"/>
      <c r="R23" s="198"/>
      <c r="S23" s="198"/>
      <c r="T23" s="198"/>
      <c r="V23" s="295">
        <f t="shared" si="16"/>
        <v>0.04</v>
      </c>
      <c r="W23" s="296">
        <f t="shared" si="17"/>
        <v>719.04399999999998</v>
      </c>
      <c r="X23" s="296">
        <f t="shared" si="18"/>
        <v>719.02</v>
      </c>
      <c r="Y23" s="298"/>
    </row>
    <row r="24" spans="1:31" s="184" customFormat="1" x14ac:dyDescent="0.25">
      <c r="A24" s="277"/>
      <c r="B24" s="293">
        <f t="shared" si="23"/>
        <v>21100</v>
      </c>
      <c r="C24" s="267">
        <v>69684.62</v>
      </c>
      <c r="D24" s="294">
        <f t="shared" si="13"/>
        <v>0</v>
      </c>
      <c r="E24" s="13">
        <v>719.49</v>
      </c>
      <c r="F24" s="294">
        <v>-0.04</v>
      </c>
      <c r="G24" s="179">
        <v>13</v>
      </c>
      <c r="H24" s="179">
        <f t="shared" si="21"/>
        <v>718.97</v>
      </c>
      <c r="I24" s="13">
        <f t="shared" si="20"/>
        <v>719.21399999999994</v>
      </c>
      <c r="J24" s="294">
        <v>-0.04</v>
      </c>
      <c r="K24" s="294">
        <v>5</v>
      </c>
      <c r="L24" s="39">
        <f t="shared" si="14"/>
        <v>719.41399999999999</v>
      </c>
      <c r="M24" s="179">
        <v>24</v>
      </c>
      <c r="N24" s="294">
        <v>-1.6E-2</v>
      </c>
      <c r="O24" s="13">
        <f t="shared" si="15"/>
        <v>719.22199999999998</v>
      </c>
      <c r="P24" s="39">
        <v>719.03</v>
      </c>
      <c r="Q24" s="198"/>
      <c r="R24" s="198"/>
      <c r="S24" s="198"/>
      <c r="T24" s="198"/>
      <c r="V24" s="295">
        <f t="shared" si="16"/>
        <v>0.04</v>
      </c>
      <c r="W24" s="296">
        <f t="shared" si="17"/>
        <v>719.25399999999991</v>
      </c>
      <c r="X24" s="296">
        <f t="shared" si="18"/>
        <v>719.2299999999999</v>
      </c>
      <c r="Y24" s="298"/>
    </row>
    <row r="25" spans="1:31" s="184" customFormat="1" x14ac:dyDescent="0.25">
      <c r="A25" s="277"/>
      <c r="B25" s="293">
        <f t="shared" si="23"/>
        <v>21125</v>
      </c>
      <c r="C25" s="267">
        <v>69709.62</v>
      </c>
      <c r="D25" s="294">
        <f t="shared" si="13"/>
        <v>0</v>
      </c>
      <c r="E25" s="13">
        <v>719.67</v>
      </c>
      <c r="F25" s="294">
        <v>-0.04</v>
      </c>
      <c r="G25" s="179">
        <v>13</v>
      </c>
      <c r="H25" s="179">
        <f t="shared" si="21"/>
        <v>719.15</v>
      </c>
      <c r="I25" s="13">
        <f t="shared" si="20"/>
        <v>719.44399999999996</v>
      </c>
      <c r="J25" s="294">
        <v>-0.04</v>
      </c>
      <c r="K25" s="294">
        <v>5</v>
      </c>
      <c r="L25" s="39">
        <f t="shared" si="14"/>
        <v>719.64400000000001</v>
      </c>
      <c r="M25" s="179">
        <v>24</v>
      </c>
      <c r="N25" s="294">
        <v>-1.6E-2</v>
      </c>
      <c r="O25" s="13">
        <f t="shared" si="15"/>
        <v>719.452</v>
      </c>
      <c r="P25" s="39">
        <v>719.26</v>
      </c>
      <c r="Q25" s="198"/>
      <c r="R25" s="198"/>
      <c r="S25" s="198"/>
      <c r="T25" s="198"/>
      <c r="V25" s="295">
        <f t="shared" si="16"/>
        <v>0.04</v>
      </c>
      <c r="W25" s="296">
        <f t="shared" si="17"/>
        <v>719.48399999999992</v>
      </c>
      <c r="X25" s="296">
        <f t="shared" si="18"/>
        <v>719.45999999999992</v>
      </c>
      <c r="Y25" s="298"/>
    </row>
    <row r="26" spans="1:31" s="184" customFormat="1" x14ac:dyDescent="0.25">
      <c r="A26" s="277"/>
      <c r="B26" s="293">
        <f t="shared" si="23"/>
        <v>21150</v>
      </c>
      <c r="C26" s="267">
        <v>69734.62</v>
      </c>
      <c r="D26" s="294">
        <f t="shared" si="13"/>
        <v>0</v>
      </c>
      <c r="E26" s="13">
        <v>719.73</v>
      </c>
      <c r="F26" s="294">
        <v>-0.04</v>
      </c>
      <c r="G26" s="179">
        <v>13</v>
      </c>
      <c r="H26" s="179">
        <f t="shared" si="21"/>
        <v>719.21</v>
      </c>
      <c r="I26" s="13">
        <f t="shared" si="20"/>
        <v>719.68399999999997</v>
      </c>
      <c r="J26" s="294">
        <v>-0.04</v>
      </c>
      <c r="K26" s="294">
        <v>5</v>
      </c>
      <c r="L26" s="39">
        <f t="shared" si="14"/>
        <v>719.88400000000001</v>
      </c>
      <c r="M26" s="179">
        <v>24</v>
      </c>
      <c r="N26" s="294">
        <v>-1.6E-2</v>
      </c>
      <c r="O26" s="13">
        <f t="shared" si="15"/>
        <v>719.69200000000001</v>
      </c>
      <c r="P26" s="39">
        <v>719.5</v>
      </c>
      <c r="Q26" s="198"/>
      <c r="R26" s="198"/>
      <c r="S26" s="198"/>
      <c r="T26" s="198"/>
      <c r="V26" s="295">
        <f t="shared" si="16"/>
        <v>0.04</v>
      </c>
      <c r="W26" s="296">
        <f t="shared" si="17"/>
        <v>719.72399999999993</v>
      </c>
      <c r="X26" s="296">
        <f t="shared" si="18"/>
        <v>719.69999999999993</v>
      </c>
      <c r="Y26" s="298"/>
    </row>
    <row r="27" spans="1:31" s="184" customFormat="1" x14ac:dyDescent="0.25">
      <c r="A27" s="277"/>
      <c r="B27" s="293">
        <f t="shared" si="23"/>
        <v>21175</v>
      </c>
      <c r="C27" s="267">
        <v>69759.62</v>
      </c>
      <c r="D27" s="294">
        <f t="shared" si="13"/>
        <v>0</v>
      </c>
      <c r="E27" s="13">
        <v>719.82</v>
      </c>
      <c r="F27" s="294">
        <v>-0.04</v>
      </c>
      <c r="G27" s="179">
        <v>13</v>
      </c>
      <c r="H27" s="179">
        <f t="shared" si="21"/>
        <v>719.30000000000007</v>
      </c>
      <c r="I27" s="13">
        <f t="shared" si="20"/>
        <v>719.92399999999998</v>
      </c>
      <c r="J27" s="294">
        <v>-0.04</v>
      </c>
      <c r="K27" s="294">
        <v>5</v>
      </c>
      <c r="L27" s="39">
        <f t="shared" si="14"/>
        <v>720.12400000000002</v>
      </c>
      <c r="M27" s="179">
        <v>24</v>
      </c>
      <c r="N27" s="294">
        <v>-1.6E-2</v>
      </c>
      <c r="O27" s="13">
        <f t="shared" si="15"/>
        <v>719.93200000000002</v>
      </c>
      <c r="P27" s="39">
        <v>719.74</v>
      </c>
      <c r="Q27" s="198"/>
      <c r="R27" s="198"/>
      <c r="S27" s="198"/>
      <c r="V27" s="295">
        <f t="shared" si="16"/>
        <v>0.04</v>
      </c>
      <c r="W27" s="296">
        <f t="shared" si="17"/>
        <v>719.96399999999994</v>
      </c>
      <c r="X27" s="296">
        <f t="shared" si="18"/>
        <v>719.93999999999994</v>
      </c>
      <c r="Y27" s="298"/>
    </row>
    <row r="28" spans="1:31" s="184" customFormat="1" x14ac:dyDescent="0.25">
      <c r="A28" s="277"/>
      <c r="B28" s="293">
        <f t="shared" si="23"/>
        <v>21200</v>
      </c>
      <c r="C28" s="267">
        <v>69784.62</v>
      </c>
      <c r="D28" s="294">
        <f t="shared" si="13"/>
        <v>0</v>
      </c>
      <c r="E28" s="13">
        <v>720.02</v>
      </c>
      <c r="F28" s="294">
        <v>-0.04</v>
      </c>
      <c r="G28" s="179">
        <v>13</v>
      </c>
      <c r="H28" s="179">
        <f t="shared" si="21"/>
        <v>719.5</v>
      </c>
      <c r="I28" s="13">
        <f t="shared" si="20"/>
        <v>720.18399999999997</v>
      </c>
      <c r="J28" s="294">
        <v>-0.04</v>
      </c>
      <c r="K28" s="294">
        <v>5</v>
      </c>
      <c r="L28" s="39">
        <f t="shared" si="14"/>
        <v>720.38400000000001</v>
      </c>
      <c r="M28" s="179">
        <v>24</v>
      </c>
      <c r="N28" s="294">
        <v>-1.6E-2</v>
      </c>
      <c r="O28" s="13">
        <f t="shared" si="15"/>
        <v>720.19200000000001</v>
      </c>
      <c r="P28" s="39">
        <v>720</v>
      </c>
      <c r="Q28" s="314" t="s">
        <v>102</v>
      </c>
      <c r="R28" s="315"/>
      <c r="S28" s="198"/>
      <c r="V28" s="295">
        <f t="shared" si="16"/>
        <v>0.04</v>
      </c>
      <c r="W28" s="296">
        <f t="shared" si="17"/>
        <v>720.22399999999993</v>
      </c>
      <c r="X28" s="296">
        <f t="shared" si="18"/>
        <v>720.19999999999993</v>
      </c>
      <c r="Y28" s="298"/>
    </row>
    <row r="29" spans="1:31" s="303" customFormat="1" x14ac:dyDescent="0.25">
      <c r="A29" s="302"/>
      <c r="B29" s="284">
        <v>21206.81</v>
      </c>
      <c r="C29" s="285">
        <v>69791.429999999993</v>
      </c>
      <c r="D29" s="51">
        <f t="shared" si="13"/>
        <v>0</v>
      </c>
      <c r="E29" s="88">
        <v>720.04</v>
      </c>
      <c r="F29" s="51">
        <v>-0.04</v>
      </c>
      <c r="G29" s="50">
        <v>13</v>
      </c>
      <c r="H29" s="50">
        <f t="shared" ref="H29:H38" si="24">E29+(G29*F29)</f>
        <v>719.52</v>
      </c>
      <c r="I29" s="88">
        <f t="shared" ref="I29:I38" si="25">L29+(J29*K29)</f>
        <v>720.25160000000005</v>
      </c>
      <c r="J29" s="51">
        <v>-0.04</v>
      </c>
      <c r="K29" s="51">
        <v>5</v>
      </c>
      <c r="L29" s="52">
        <f>Q29-(M29*N29)</f>
        <v>720.4516000000001</v>
      </c>
      <c r="M29" s="50">
        <v>12</v>
      </c>
      <c r="N29" s="51">
        <v>-1.5800000000000002E-2</v>
      </c>
      <c r="O29" s="88"/>
      <c r="P29" s="184"/>
      <c r="Q29" s="307">
        <f>T29+(R29*-1*S29)</f>
        <v>720.26200000000006</v>
      </c>
      <c r="R29" s="312">
        <v>12</v>
      </c>
      <c r="S29" s="39">
        <v>-1.6E-2</v>
      </c>
      <c r="T29" s="52">
        <v>720.07</v>
      </c>
      <c r="V29" s="304">
        <f t="shared" ref="V29:V38" si="26">D29-F29</f>
        <v>0.04</v>
      </c>
      <c r="W29" s="251">
        <f t="shared" ref="W29:W38" si="27">ABS(I29-F29)</f>
        <v>720.29160000000002</v>
      </c>
      <c r="X29" s="251">
        <f t="shared" si="18"/>
        <v>720.26740000000007</v>
      </c>
      <c r="Y29" s="305"/>
    </row>
    <row r="30" spans="1:31" s="303" customFormat="1" x14ac:dyDescent="0.25">
      <c r="A30" s="302"/>
      <c r="B30" s="284">
        <v>21225</v>
      </c>
      <c r="C30" s="285">
        <v>69809.62</v>
      </c>
      <c r="D30" s="51">
        <f t="shared" si="13"/>
        <v>0</v>
      </c>
      <c r="E30" s="88">
        <v>719.05499999999995</v>
      </c>
      <c r="F30" s="51">
        <v>-0.04</v>
      </c>
      <c r="G30" s="50">
        <v>13</v>
      </c>
      <c r="H30" s="50">
        <f t="shared" si="24"/>
        <v>718.53499999999997</v>
      </c>
      <c r="I30" s="88">
        <f t="shared" si="25"/>
        <v>720.35879999999997</v>
      </c>
      <c r="J30" s="51">
        <v>-0.04</v>
      </c>
      <c r="K30" s="51">
        <v>5</v>
      </c>
      <c r="L30" s="52">
        <f t="shared" ref="L30:L31" si="28">Q30-(M30*N30)</f>
        <v>720.55880000000002</v>
      </c>
      <c r="M30" s="50">
        <v>12</v>
      </c>
      <c r="N30" s="51">
        <v>-8.8999999999999999E-3</v>
      </c>
      <c r="O30" s="88"/>
      <c r="P30" s="184"/>
      <c r="Q30" s="307">
        <f>T30+(R30*-1*S30)</f>
        <v>720.452</v>
      </c>
      <c r="R30" s="312">
        <v>12</v>
      </c>
      <c r="S30" s="39">
        <v>-1.6E-2</v>
      </c>
      <c r="T30" s="52">
        <v>720.26</v>
      </c>
      <c r="V30" s="304">
        <f t="shared" si="26"/>
        <v>0.04</v>
      </c>
      <c r="W30" s="251">
        <f t="shared" si="27"/>
        <v>720.39879999999994</v>
      </c>
      <c r="X30" s="251">
        <f t="shared" si="18"/>
        <v>720.36770000000001</v>
      </c>
      <c r="Y30" s="305"/>
    </row>
    <row r="31" spans="1:31" s="303" customFormat="1" x14ac:dyDescent="0.25">
      <c r="A31" s="302"/>
      <c r="B31" s="284">
        <f t="shared" ref="B31:C68" si="29">B30+25</f>
        <v>21250</v>
      </c>
      <c r="C31" s="285">
        <v>69834.62</v>
      </c>
      <c r="D31" s="51">
        <f t="shared" si="13"/>
        <v>0</v>
      </c>
      <c r="E31" s="88">
        <v>720.02</v>
      </c>
      <c r="F31" s="51">
        <v>-0.04</v>
      </c>
      <c r="G31" s="50">
        <v>13</v>
      </c>
      <c r="H31" s="50">
        <f t="shared" si="24"/>
        <v>719.5</v>
      </c>
      <c r="I31" s="88">
        <f t="shared" si="25"/>
        <v>720.52679999999998</v>
      </c>
      <c r="J31" s="51">
        <v>-0.04</v>
      </c>
      <c r="K31" s="51">
        <v>5</v>
      </c>
      <c r="L31" s="52">
        <f t="shared" si="28"/>
        <v>720.72680000000003</v>
      </c>
      <c r="M31" s="50">
        <v>12</v>
      </c>
      <c r="N31" s="51">
        <v>-4.0000000000000002E-4</v>
      </c>
      <c r="O31" s="88"/>
      <c r="P31" s="184"/>
      <c r="Q31" s="307">
        <f t="shared" ref="Q31" si="30">T31+(R31*-1*S31)</f>
        <v>720.72199999999998</v>
      </c>
      <c r="R31" s="312">
        <v>12</v>
      </c>
      <c r="S31" s="39">
        <v>-1.6E-2</v>
      </c>
      <c r="T31" s="52">
        <v>720.53</v>
      </c>
      <c r="V31" s="304">
        <f t="shared" si="26"/>
        <v>0.04</v>
      </c>
      <c r="W31" s="251">
        <f t="shared" si="27"/>
        <v>720.56679999999994</v>
      </c>
      <c r="X31" s="251">
        <f t="shared" si="18"/>
        <v>720.52719999999999</v>
      </c>
      <c r="Y31" s="305"/>
    </row>
    <row r="32" spans="1:31" s="303" customFormat="1" x14ac:dyDescent="0.25">
      <c r="A32" s="302"/>
      <c r="B32" s="284">
        <f t="shared" si="29"/>
        <v>21275</v>
      </c>
      <c r="C32" s="285">
        <v>69859.62</v>
      </c>
      <c r="D32" s="51">
        <f t="shared" si="13"/>
        <v>0</v>
      </c>
      <c r="E32" s="88">
        <v>720.06</v>
      </c>
      <c r="F32" s="51">
        <v>-0.04</v>
      </c>
      <c r="G32" s="50">
        <v>13</v>
      </c>
      <c r="H32" s="50">
        <f t="shared" si="24"/>
        <v>719.54</v>
      </c>
      <c r="I32" s="88">
        <f t="shared" si="25"/>
        <v>720.66439999999989</v>
      </c>
      <c r="J32" s="51">
        <v>-0.04</v>
      </c>
      <c r="K32" s="51">
        <v>5</v>
      </c>
      <c r="L32" s="52">
        <f>Q32-(M32*N32)</f>
        <v>720.86439999999993</v>
      </c>
      <c r="M32" s="50">
        <v>12</v>
      </c>
      <c r="N32" s="51">
        <v>9.7999999999999997E-3</v>
      </c>
      <c r="O32" s="88"/>
      <c r="P32" s="184"/>
      <c r="Q32" s="307">
        <f t="shared" ref="Q32:Q38" si="31">T32+(R32*-1*S32)</f>
        <v>720.98199999999997</v>
      </c>
      <c r="R32" s="312">
        <v>12</v>
      </c>
      <c r="S32" s="39">
        <v>-1.6E-2</v>
      </c>
      <c r="T32" s="52">
        <v>720.79</v>
      </c>
      <c r="V32" s="304">
        <f t="shared" si="26"/>
        <v>0.04</v>
      </c>
      <c r="W32" s="251">
        <f t="shared" si="27"/>
        <v>720.70439999999985</v>
      </c>
      <c r="X32" s="251">
        <f t="shared" si="18"/>
        <v>720.65459999999985</v>
      </c>
      <c r="Y32" s="305"/>
    </row>
    <row r="33" spans="1:25" s="184" customFormat="1" x14ac:dyDescent="0.25">
      <c r="A33" s="277"/>
      <c r="B33" s="293">
        <f t="shared" si="29"/>
        <v>21300</v>
      </c>
      <c r="C33" s="267">
        <v>69884.62</v>
      </c>
      <c r="D33" s="294">
        <f t="shared" si="13"/>
        <v>0</v>
      </c>
      <c r="E33" s="13">
        <v>720.09</v>
      </c>
      <c r="F33" s="294">
        <v>-0.04</v>
      </c>
      <c r="G33" s="179">
        <v>13</v>
      </c>
      <c r="H33" s="179">
        <f t="shared" si="24"/>
        <v>719.57</v>
      </c>
      <c r="I33" s="13">
        <f t="shared" si="25"/>
        <v>720.83999999999992</v>
      </c>
      <c r="J33" s="294">
        <v>-0.04</v>
      </c>
      <c r="K33" s="294">
        <v>5</v>
      </c>
      <c r="L33" s="39">
        <f t="shared" ref="L33:L38" si="32">Q33-(M33*N33)</f>
        <v>721.04</v>
      </c>
      <c r="M33" s="179">
        <v>12</v>
      </c>
      <c r="N33" s="294">
        <v>1.6E-2</v>
      </c>
      <c r="O33" s="13">
        <f t="shared" ref="O33:O38" si="33">L33+(N33*12)</f>
        <v>721.23199999999997</v>
      </c>
      <c r="Q33" s="194">
        <f t="shared" si="31"/>
        <v>721.23199999999997</v>
      </c>
      <c r="R33" s="313">
        <v>12</v>
      </c>
      <c r="S33" s="39">
        <v>-1.6E-2</v>
      </c>
      <c r="T33" s="39">
        <v>721.04</v>
      </c>
      <c r="V33" s="295">
        <f t="shared" si="26"/>
        <v>0.04</v>
      </c>
      <c r="W33" s="296">
        <f t="shared" si="27"/>
        <v>720.87999999999988</v>
      </c>
      <c r="X33" s="296">
        <f t="shared" si="18"/>
        <v>720.82399999999996</v>
      </c>
      <c r="Y33" s="298"/>
    </row>
    <row r="34" spans="1:25" s="184" customFormat="1" x14ac:dyDescent="0.25">
      <c r="A34" s="277"/>
      <c r="B34" s="293">
        <f t="shared" si="29"/>
        <v>21325</v>
      </c>
      <c r="C34" s="267">
        <v>69909.62</v>
      </c>
      <c r="D34" s="294">
        <f t="shared" si="13"/>
        <v>0</v>
      </c>
      <c r="E34" s="13">
        <v>720.31</v>
      </c>
      <c r="F34" s="294">
        <v>-0.04</v>
      </c>
      <c r="G34" s="179">
        <v>13</v>
      </c>
      <c r="H34" s="179">
        <f t="shared" si="24"/>
        <v>719.79</v>
      </c>
      <c r="I34" s="13">
        <f t="shared" si="25"/>
        <v>721.06999999999994</v>
      </c>
      <c r="J34" s="294">
        <v>-0.04</v>
      </c>
      <c r="K34" s="294">
        <v>5</v>
      </c>
      <c r="L34" s="39">
        <f t="shared" si="32"/>
        <v>721.27</v>
      </c>
      <c r="M34" s="179">
        <v>12</v>
      </c>
      <c r="N34" s="294">
        <v>1.6E-2</v>
      </c>
      <c r="O34" s="13">
        <f t="shared" si="33"/>
        <v>721.46199999999999</v>
      </c>
      <c r="Q34" s="194">
        <f t="shared" si="31"/>
        <v>721.46199999999999</v>
      </c>
      <c r="R34" s="313">
        <v>12</v>
      </c>
      <c r="S34" s="39">
        <v>-1.6E-2</v>
      </c>
      <c r="T34" s="39">
        <v>721.27</v>
      </c>
      <c r="V34" s="295">
        <f t="shared" si="26"/>
        <v>0.04</v>
      </c>
      <c r="W34" s="296">
        <f t="shared" si="27"/>
        <v>721.1099999999999</v>
      </c>
      <c r="X34" s="296">
        <f t="shared" si="18"/>
        <v>721.05399999999997</v>
      </c>
      <c r="Y34" s="298"/>
    </row>
    <row r="35" spans="1:25" s="184" customFormat="1" x14ac:dyDescent="0.25">
      <c r="A35" s="277"/>
      <c r="B35" s="293">
        <f t="shared" si="29"/>
        <v>21350</v>
      </c>
      <c r="C35" s="267">
        <v>69934.62</v>
      </c>
      <c r="D35" s="294">
        <f t="shared" si="13"/>
        <v>0</v>
      </c>
      <c r="E35" s="13">
        <v>720.33</v>
      </c>
      <c r="F35" s="294">
        <v>-0.04</v>
      </c>
      <c r="G35" s="179">
        <v>13</v>
      </c>
      <c r="H35" s="179">
        <f t="shared" si="24"/>
        <v>719.81000000000006</v>
      </c>
      <c r="I35" s="13">
        <f t="shared" si="25"/>
        <v>721.25</v>
      </c>
      <c r="J35" s="294">
        <v>-0.04</v>
      </c>
      <c r="K35" s="294">
        <v>5</v>
      </c>
      <c r="L35" s="39">
        <f t="shared" si="32"/>
        <v>721.45</v>
      </c>
      <c r="M35" s="179">
        <v>12</v>
      </c>
      <c r="N35" s="294">
        <v>1.6E-2</v>
      </c>
      <c r="O35" s="13">
        <f t="shared" si="33"/>
        <v>721.64200000000005</v>
      </c>
      <c r="Q35" s="194">
        <f t="shared" si="31"/>
        <v>721.64200000000005</v>
      </c>
      <c r="R35" s="313">
        <v>12</v>
      </c>
      <c r="S35" s="39">
        <v>-1.6E-2</v>
      </c>
      <c r="T35" s="39">
        <v>721.45</v>
      </c>
      <c r="V35" s="295">
        <f t="shared" si="26"/>
        <v>0.04</v>
      </c>
      <c r="W35" s="296">
        <f t="shared" si="27"/>
        <v>721.29</v>
      </c>
      <c r="X35" s="296">
        <f t="shared" si="18"/>
        <v>721.23400000000004</v>
      </c>
      <c r="Y35" s="298"/>
    </row>
    <row r="36" spans="1:25" s="184" customFormat="1" x14ac:dyDescent="0.25">
      <c r="A36" s="277"/>
      <c r="B36" s="293">
        <f t="shared" si="29"/>
        <v>21375</v>
      </c>
      <c r="C36" s="267">
        <v>69959.62</v>
      </c>
      <c r="D36" s="294">
        <f t="shared" si="13"/>
        <v>0</v>
      </c>
      <c r="E36" s="13">
        <v>720.33</v>
      </c>
      <c r="F36" s="294">
        <v>-0.04</v>
      </c>
      <c r="G36" s="179">
        <v>13</v>
      </c>
      <c r="H36" s="179">
        <f t="shared" si="24"/>
        <v>719.81000000000006</v>
      </c>
      <c r="I36" s="13">
        <f t="shared" si="25"/>
        <v>721.4</v>
      </c>
      <c r="J36" s="294">
        <v>-0.04</v>
      </c>
      <c r="K36" s="294">
        <v>5</v>
      </c>
      <c r="L36" s="39">
        <f t="shared" si="32"/>
        <v>721.6</v>
      </c>
      <c r="M36" s="179">
        <v>12</v>
      </c>
      <c r="N36" s="294">
        <v>1.6E-2</v>
      </c>
      <c r="O36" s="13">
        <f t="shared" si="33"/>
        <v>721.79200000000003</v>
      </c>
      <c r="Q36" s="194">
        <f t="shared" si="31"/>
        <v>721.79200000000003</v>
      </c>
      <c r="R36" s="313">
        <v>12</v>
      </c>
      <c r="S36" s="39">
        <v>-1.6E-2</v>
      </c>
      <c r="T36" s="39">
        <v>721.6</v>
      </c>
      <c r="V36" s="295">
        <f t="shared" si="26"/>
        <v>0.04</v>
      </c>
      <c r="W36" s="296">
        <f t="shared" si="27"/>
        <v>721.43999999999994</v>
      </c>
      <c r="X36" s="296">
        <f t="shared" si="18"/>
        <v>721.38400000000001</v>
      </c>
      <c r="Y36" s="298"/>
    </row>
    <row r="37" spans="1:25" s="184" customFormat="1" x14ac:dyDescent="0.25">
      <c r="A37" s="277"/>
      <c r="B37" s="293">
        <f t="shared" si="29"/>
        <v>21400</v>
      </c>
      <c r="C37" s="267">
        <v>69984.62</v>
      </c>
      <c r="D37" s="294">
        <f t="shared" si="13"/>
        <v>0</v>
      </c>
      <c r="E37" s="13">
        <v>720.04</v>
      </c>
      <c r="F37" s="294">
        <v>-0.04</v>
      </c>
      <c r="G37" s="179">
        <v>13</v>
      </c>
      <c r="H37" s="179">
        <f t="shared" si="24"/>
        <v>719.52</v>
      </c>
      <c r="I37" s="13">
        <f t="shared" si="25"/>
        <v>721.51</v>
      </c>
      <c r="J37" s="294">
        <v>-0.04</v>
      </c>
      <c r="K37" s="294">
        <v>5</v>
      </c>
      <c r="L37" s="39">
        <f t="shared" si="32"/>
        <v>721.71</v>
      </c>
      <c r="M37" s="179">
        <v>12</v>
      </c>
      <c r="N37" s="294">
        <v>1.6E-2</v>
      </c>
      <c r="O37" s="13">
        <f t="shared" si="33"/>
        <v>721.90200000000004</v>
      </c>
      <c r="Q37" s="194">
        <f t="shared" si="31"/>
        <v>721.90200000000004</v>
      </c>
      <c r="R37" s="313">
        <v>12</v>
      </c>
      <c r="S37" s="39">
        <v>-1.6E-2</v>
      </c>
      <c r="T37" s="39">
        <v>721.71</v>
      </c>
      <c r="V37" s="295">
        <f t="shared" si="26"/>
        <v>0.04</v>
      </c>
      <c r="W37" s="296">
        <f t="shared" si="27"/>
        <v>721.55</v>
      </c>
      <c r="X37" s="296">
        <f t="shared" si="18"/>
        <v>721.49400000000003</v>
      </c>
      <c r="Y37" s="298"/>
    </row>
    <row r="38" spans="1:25" s="184" customFormat="1" x14ac:dyDescent="0.25">
      <c r="A38" s="277"/>
      <c r="B38" s="293">
        <f t="shared" si="29"/>
        <v>21425</v>
      </c>
      <c r="C38" s="267">
        <v>70009.62</v>
      </c>
      <c r="D38" s="294">
        <f t="shared" si="13"/>
        <v>0</v>
      </c>
      <c r="E38" s="13">
        <v>720.29</v>
      </c>
      <c r="F38" s="294">
        <v>-0.04</v>
      </c>
      <c r="G38" s="179">
        <v>13</v>
      </c>
      <c r="H38" s="179">
        <f t="shared" si="24"/>
        <v>719.77</v>
      </c>
      <c r="I38" s="13">
        <f t="shared" si="25"/>
        <v>721.56999999999994</v>
      </c>
      <c r="J38" s="294">
        <v>-0.04</v>
      </c>
      <c r="K38" s="294">
        <v>5</v>
      </c>
      <c r="L38" s="39">
        <f t="shared" si="32"/>
        <v>721.77</v>
      </c>
      <c r="M38" s="179">
        <v>12</v>
      </c>
      <c r="N38" s="294">
        <v>1.6E-2</v>
      </c>
      <c r="O38" s="13">
        <f t="shared" si="33"/>
        <v>721.96199999999999</v>
      </c>
      <c r="Q38" s="194">
        <f t="shared" si="31"/>
        <v>721.96199999999999</v>
      </c>
      <c r="R38" s="313">
        <v>12</v>
      </c>
      <c r="S38" s="39">
        <v>-1.6E-2</v>
      </c>
      <c r="T38" s="39">
        <v>721.77</v>
      </c>
      <c r="V38" s="295">
        <f t="shared" si="26"/>
        <v>0.04</v>
      </c>
      <c r="W38" s="296">
        <f t="shared" si="27"/>
        <v>721.6099999999999</v>
      </c>
      <c r="X38" s="296">
        <f t="shared" si="18"/>
        <v>721.55399999999997</v>
      </c>
      <c r="Y38" s="298"/>
    </row>
    <row r="39" spans="1:25" x14ac:dyDescent="0.25">
      <c r="A39" s="277"/>
      <c r="B39" s="293">
        <f t="shared" si="29"/>
        <v>21450</v>
      </c>
      <c r="C39" s="267">
        <v>70034.62</v>
      </c>
      <c r="D39" s="294">
        <f t="shared" si="13"/>
        <v>0</v>
      </c>
      <c r="E39" s="13">
        <v>720.25</v>
      </c>
      <c r="F39" s="294">
        <v>-0.04</v>
      </c>
      <c r="G39" s="179">
        <v>13</v>
      </c>
      <c r="H39" s="179">
        <f t="shared" ref="H39:H68" si="34">E39+(G39*F39)</f>
        <v>719.73</v>
      </c>
      <c r="I39" s="13">
        <f t="shared" ref="I39:I68" si="35">L39+(J39*K39)</f>
        <v>721.59999999999991</v>
      </c>
      <c r="J39" s="294">
        <v>-0.04</v>
      </c>
      <c r="K39" s="294">
        <v>5</v>
      </c>
      <c r="L39" s="39">
        <f t="shared" ref="L39:L68" si="36">Q39-(M39*N39)</f>
        <v>721.8</v>
      </c>
      <c r="M39" s="179">
        <v>12</v>
      </c>
      <c r="N39" s="294">
        <v>1.6E-2</v>
      </c>
      <c r="O39" s="13">
        <f t="shared" ref="O39:O68" si="37">L39+(N39*12)</f>
        <v>721.99199999999996</v>
      </c>
      <c r="P39" s="184"/>
      <c r="Q39" s="194">
        <f t="shared" ref="Q39:Q68" si="38">T39+(R39*-1*S39)</f>
        <v>721.99199999999996</v>
      </c>
      <c r="R39" s="313">
        <v>12</v>
      </c>
      <c r="S39" s="39">
        <v>-1.6E-2</v>
      </c>
      <c r="T39" s="39">
        <v>721.8</v>
      </c>
    </row>
    <row r="40" spans="1:25" x14ac:dyDescent="0.25">
      <c r="A40" s="277"/>
      <c r="B40" s="293">
        <f t="shared" si="29"/>
        <v>21475</v>
      </c>
      <c r="C40" s="267">
        <v>70059.62</v>
      </c>
      <c r="D40" s="294">
        <f t="shared" si="13"/>
        <v>0</v>
      </c>
      <c r="E40" s="13">
        <v>720.19</v>
      </c>
      <c r="F40" s="294">
        <v>-0.04</v>
      </c>
      <c r="G40" s="179">
        <v>13</v>
      </c>
      <c r="H40" s="179">
        <f t="shared" si="34"/>
        <v>719.67000000000007</v>
      </c>
      <c r="I40" s="13">
        <f t="shared" si="35"/>
        <v>721.58999999999992</v>
      </c>
      <c r="J40" s="294">
        <v>-0.04</v>
      </c>
      <c r="K40" s="294">
        <v>5</v>
      </c>
      <c r="L40" s="39">
        <f t="shared" si="36"/>
        <v>721.79</v>
      </c>
      <c r="M40" s="179">
        <v>12</v>
      </c>
      <c r="N40" s="294">
        <v>1.6E-2</v>
      </c>
      <c r="O40" s="13">
        <f t="shared" si="37"/>
        <v>721.98199999999997</v>
      </c>
      <c r="P40" s="184"/>
      <c r="Q40" s="194">
        <f t="shared" si="38"/>
        <v>721.98199999999997</v>
      </c>
      <c r="R40" s="313">
        <v>12</v>
      </c>
      <c r="S40" s="39">
        <v>-1.6E-2</v>
      </c>
      <c r="T40" s="39">
        <v>721.79</v>
      </c>
    </row>
    <row r="41" spans="1:25" x14ac:dyDescent="0.25">
      <c r="A41" s="277"/>
      <c r="B41" s="293">
        <f t="shared" si="29"/>
        <v>21500</v>
      </c>
      <c r="C41" s="267">
        <v>70084.62</v>
      </c>
      <c r="D41" s="294">
        <f t="shared" si="13"/>
        <v>0</v>
      </c>
      <c r="E41" s="13">
        <v>720.12</v>
      </c>
      <c r="F41" s="294">
        <v>-0.04</v>
      </c>
      <c r="G41" s="179">
        <v>13</v>
      </c>
      <c r="H41" s="179">
        <f t="shared" si="34"/>
        <v>719.6</v>
      </c>
      <c r="I41" s="13">
        <f t="shared" si="35"/>
        <v>721.54</v>
      </c>
      <c r="J41" s="294">
        <v>-0.04</v>
      </c>
      <c r="K41" s="294">
        <v>5</v>
      </c>
      <c r="L41" s="39">
        <f t="shared" si="36"/>
        <v>721.74</v>
      </c>
      <c r="M41" s="179">
        <v>12</v>
      </c>
      <c r="N41" s="294">
        <v>1.6E-2</v>
      </c>
      <c r="O41" s="13">
        <f t="shared" si="37"/>
        <v>721.93200000000002</v>
      </c>
      <c r="P41" s="184"/>
      <c r="Q41" s="194">
        <f t="shared" si="38"/>
        <v>721.93200000000002</v>
      </c>
      <c r="R41" s="313">
        <v>12</v>
      </c>
      <c r="S41" s="39">
        <v>-1.6E-2</v>
      </c>
      <c r="T41" s="39">
        <v>721.74</v>
      </c>
    </row>
    <row r="42" spans="1:25" x14ac:dyDescent="0.25">
      <c r="A42" s="277"/>
      <c r="B42" s="293">
        <f t="shared" si="29"/>
        <v>21525</v>
      </c>
      <c r="C42" s="267">
        <v>70109.62</v>
      </c>
      <c r="D42" s="294">
        <f t="shared" si="13"/>
        <v>0</v>
      </c>
      <c r="E42" s="13">
        <v>720.05</v>
      </c>
      <c r="F42" s="294">
        <v>-0.04</v>
      </c>
      <c r="G42" s="179">
        <v>13</v>
      </c>
      <c r="H42" s="179">
        <f t="shared" si="34"/>
        <v>719.53</v>
      </c>
      <c r="I42" s="13">
        <f t="shared" si="35"/>
        <v>721.44999999999993</v>
      </c>
      <c r="J42" s="294">
        <v>-0.04</v>
      </c>
      <c r="K42" s="294">
        <v>5</v>
      </c>
      <c r="L42" s="39">
        <f t="shared" si="36"/>
        <v>721.65</v>
      </c>
      <c r="M42" s="179">
        <v>12</v>
      </c>
      <c r="N42" s="294">
        <v>1.6E-2</v>
      </c>
      <c r="O42" s="13">
        <f t="shared" si="37"/>
        <v>721.84199999999998</v>
      </c>
      <c r="P42" s="184"/>
      <c r="Q42" s="194">
        <f t="shared" si="38"/>
        <v>721.84199999999998</v>
      </c>
      <c r="R42" s="313">
        <v>12</v>
      </c>
      <c r="S42" s="39">
        <v>-1.6E-2</v>
      </c>
      <c r="T42" s="39">
        <v>721.65</v>
      </c>
    </row>
    <row r="43" spans="1:25" x14ac:dyDescent="0.25">
      <c r="A43" s="277"/>
      <c r="B43" s="293">
        <f t="shared" si="29"/>
        <v>21550</v>
      </c>
      <c r="C43" s="267">
        <v>70134.62</v>
      </c>
      <c r="D43" s="294">
        <f t="shared" si="13"/>
        <v>0</v>
      </c>
      <c r="E43" s="13">
        <v>719.97</v>
      </c>
      <c r="F43" s="294">
        <v>-0.04</v>
      </c>
      <c r="G43" s="179">
        <v>13</v>
      </c>
      <c r="H43" s="179">
        <f t="shared" si="34"/>
        <v>719.45</v>
      </c>
      <c r="I43" s="13">
        <f t="shared" si="35"/>
        <v>721.37</v>
      </c>
      <c r="J43" s="294">
        <v>-0.04</v>
      </c>
      <c r="K43" s="294">
        <v>5</v>
      </c>
      <c r="L43" s="39">
        <f t="shared" si="36"/>
        <v>721.57</v>
      </c>
      <c r="M43" s="179">
        <v>12</v>
      </c>
      <c r="N43" s="294">
        <v>1.6E-2</v>
      </c>
      <c r="O43" s="13">
        <f t="shared" si="37"/>
        <v>721.76200000000006</v>
      </c>
      <c r="P43" s="184"/>
      <c r="Q43" s="194">
        <f t="shared" si="38"/>
        <v>721.76200000000006</v>
      </c>
      <c r="R43" s="313">
        <v>12</v>
      </c>
      <c r="S43" s="39">
        <v>-1.6E-2</v>
      </c>
      <c r="T43" s="39">
        <v>721.57</v>
      </c>
    </row>
    <row r="44" spans="1:25" x14ac:dyDescent="0.25">
      <c r="A44" s="277"/>
      <c r="B44" s="293">
        <f t="shared" si="29"/>
        <v>21575</v>
      </c>
      <c r="C44" s="267">
        <v>70159.62</v>
      </c>
      <c r="D44" s="294">
        <f t="shared" si="13"/>
        <v>0</v>
      </c>
      <c r="E44" s="13">
        <v>719.9</v>
      </c>
      <c r="F44" s="294">
        <v>-0.04</v>
      </c>
      <c r="G44" s="179">
        <v>13</v>
      </c>
      <c r="H44" s="179">
        <f t="shared" si="34"/>
        <v>719.38</v>
      </c>
      <c r="I44" s="13">
        <f t="shared" si="35"/>
        <v>721.28</v>
      </c>
      <c r="J44" s="294">
        <v>-0.04</v>
      </c>
      <c r="K44" s="294">
        <v>5</v>
      </c>
      <c r="L44" s="39">
        <f t="shared" si="36"/>
        <v>721.48</v>
      </c>
      <c r="M44" s="179">
        <v>12</v>
      </c>
      <c r="N44" s="294">
        <v>1.6E-2</v>
      </c>
      <c r="O44" s="13">
        <f t="shared" si="37"/>
        <v>721.67200000000003</v>
      </c>
      <c r="P44" s="184"/>
      <c r="Q44" s="194">
        <f t="shared" si="38"/>
        <v>721.67200000000003</v>
      </c>
      <c r="R44" s="313">
        <v>12</v>
      </c>
      <c r="S44" s="39">
        <v>-1.6E-2</v>
      </c>
      <c r="T44" s="39">
        <v>721.48</v>
      </c>
    </row>
    <row r="45" spans="1:25" x14ac:dyDescent="0.25">
      <c r="A45" s="277"/>
      <c r="B45" s="293">
        <f t="shared" si="29"/>
        <v>21600</v>
      </c>
      <c r="C45" s="267">
        <f>C44+25</f>
        <v>70184.62</v>
      </c>
      <c r="D45" s="294">
        <f t="shared" si="13"/>
        <v>0</v>
      </c>
      <c r="E45" s="13">
        <v>719.82</v>
      </c>
      <c r="F45" s="294">
        <v>-0.04</v>
      </c>
      <c r="G45" s="179">
        <v>13</v>
      </c>
      <c r="H45" s="179">
        <f t="shared" si="34"/>
        <v>719.30000000000007</v>
      </c>
      <c r="I45" s="13">
        <f t="shared" si="35"/>
        <v>721.18999999999994</v>
      </c>
      <c r="J45" s="294">
        <v>-0.04</v>
      </c>
      <c r="K45" s="294">
        <v>5</v>
      </c>
      <c r="L45" s="39">
        <f t="shared" si="36"/>
        <v>721.39</v>
      </c>
      <c r="M45" s="179">
        <v>12</v>
      </c>
      <c r="N45" s="294">
        <v>1.6E-2</v>
      </c>
      <c r="O45" s="13">
        <f t="shared" si="37"/>
        <v>721.58199999999999</v>
      </c>
      <c r="P45" s="184"/>
      <c r="Q45" s="194">
        <f t="shared" si="38"/>
        <v>721.58199999999999</v>
      </c>
      <c r="R45" s="313">
        <v>12</v>
      </c>
      <c r="S45" s="39">
        <v>-1.6E-2</v>
      </c>
      <c r="T45" s="39">
        <v>721.39</v>
      </c>
    </row>
    <row r="46" spans="1:25" x14ac:dyDescent="0.25">
      <c r="A46" s="277"/>
      <c r="B46" s="293">
        <f t="shared" si="29"/>
        <v>21625</v>
      </c>
      <c r="C46" s="267">
        <f t="shared" si="29"/>
        <v>70209.62</v>
      </c>
      <c r="D46" s="294">
        <f t="shared" si="13"/>
        <v>0</v>
      </c>
      <c r="E46" s="13">
        <v>719.75</v>
      </c>
      <c r="F46" s="294">
        <v>-0.04</v>
      </c>
      <c r="G46" s="179">
        <v>13</v>
      </c>
      <c r="H46" s="179">
        <f t="shared" si="34"/>
        <v>719.23</v>
      </c>
      <c r="I46" s="13">
        <f t="shared" si="35"/>
        <v>721.09999999999991</v>
      </c>
      <c r="J46" s="294">
        <v>-0.04</v>
      </c>
      <c r="K46" s="294">
        <v>5</v>
      </c>
      <c r="L46" s="39">
        <f t="shared" si="36"/>
        <v>721.3</v>
      </c>
      <c r="M46" s="179">
        <v>12</v>
      </c>
      <c r="N46" s="294">
        <v>1.6E-2</v>
      </c>
      <c r="O46" s="13">
        <f t="shared" si="37"/>
        <v>721.49199999999996</v>
      </c>
      <c r="P46" s="184"/>
      <c r="Q46" s="194">
        <f t="shared" si="38"/>
        <v>721.49199999999996</v>
      </c>
      <c r="R46" s="313">
        <v>12</v>
      </c>
      <c r="S46" s="39">
        <v>-1.6E-2</v>
      </c>
      <c r="T46" s="39">
        <v>721.3</v>
      </c>
    </row>
    <row r="47" spans="1:25" x14ac:dyDescent="0.25">
      <c r="A47" s="277"/>
      <c r="B47" s="293">
        <f t="shared" si="29"/>
        <v>21650</v>
      </c>
      <c r="C47" s="267">
        <f t="shared" si="29"/>
        <v>70234.62</v>
      </c>
      <c r="D47" s="294">
        <f t="shared" si="13"/>
        <v>0</v>
      </c>
      <c r="E47" s="13">
        <v>719.67</v>
      </c>
      <c r="F47" s="294">
        <v>-0.04</v>
      </c>
      <c r="G47" s="179">
        <v>13</v>
      </c>
      <c r="H47" s="179">
        <f t="shared" si="34"/>
        <v>719.15</v>
      </c>
      <c r="I47" s="13">
        <f t="shared" si="35"/>
        <v>721.02</v>
      </c>
      <c r="J47" s="294">
        <v>-0.04</v>
      </c>
      <c r="K47" s="294">
        <v>5</v>
      </c>
      <c r="L47" s="39">
        <f t="shared" si="36"/>
        <v>721.22</v>
      </c>
      <c r="M47" s="179">
        <v>12</v>
      </c>
      <c r="N47" s="294">
        <v>1.6E-2</v>
      </c>
      <c r="O47" s="13">
        <f t="shared" si="37"/>
        <v>721.41200000000003</v>
      </c>
      <c r="P47" s="184"/>
      <c r="Q47" s="194">
        <f t="shared" si="38"/>
        <v>721.41200000000003</v>
      </c>
      <c r="R47" s="313">
        <v>12</v>
      </c>
      <c r="S47" s="39">
        <v>-1.6E-2</v>
      </c>
      <c r="T47" s="39">
        <v>721.22</v>
      </c>
    </row>
    <row r="48" spans="1:25" x14ac:dyDescent="0.25">
      <c r="A48" s="277"/>
      <c r="B48" s="293">
        <f t="shared" si="29"/>
        <v>21675</v>
      </c>
      <c r="C48" s="267">
        <f t="shared" si="29"/>
        <v>70259.62</v>
      </c>
      <c r="D48" s="294">
        <f t="shared" si="13"/>
        <v>0</v>
      </c>
      <c r="E48" s="13">
        <v>719.6</v>
      </c>
      <c r="F48" s="294">
        <v>-0.04</v>
      </c>
      <c r="G48" s="179">
        <v>13</v>
      </c>
      <c r="H48" s="179">
        <f t="shared" si="34"/>
        <v>719.08</v>
      </c>
      <c r="I48" s="13">
        <f t="shared" si="35"/>
        <v>720.92</v>
      </c>
      <c r="J48" s="294">
        <v>-0.04</v>
      </c>
      <c r="K48" s="294">
        <v>5</v>
      </c>
      <c r="L48" s="39">
        <f t="shared" si="36"/>
        <v>721.12</v>
      </c>
      <c r="M48" s="179">
        <v>12</v>
      </c>
      <c r="N48" s="294">
        <v>1.6E-2</v>
      </c>
      <c r="O48" s="13">
        <f t="shared" si="37"/>
        <v>721.31200000000001</v>
      </c>
      <c r="P48" s="184"/>
      <c r="Q48" s="194">
        <f t="shared" si="38"/>
        <v>721.31200000000001</v>
      </c>
      <c r="R48" s="313">
        <v>12</v>
      </c>
      <c r="S48" s="39">
        <v>-1.6E-2</v>
      </c>
      <c r="T48" s="39">
        <v>721.12</v>
      </c>
    </row>
    <row r="49" spans="1:20" x14ac:dyDescent="0.25">
      <c r="A49" s="277"/>
      <c r="B49" s="293">
        <f t="shared" si="29"/>
        <v>21700</v>
      </c>
      <c r="C49" s="267">
        <f t="shared" si="29"/>
        <v>70284.62</v>
      </c>
      <c r="D49" s="294">
        <f t="shared" si="13"/>
        <v>0</v>
      </c>
      <c r="E49" s="13">
        <v>719.52</v>
      </c>
      <c r="F49" s="294">
        <v>-0.04</v>
      </c>
      <c r="G49" s="179">
        <v>13</v>
      </c>
      <c r="H49" s="179">
        <f t="shared" si="34"/>
        <v>719</v>
      </c>
      <c r="I49" s="13">
        <f t="shared" si="35"/>
        <v>720.83999999999992</v>
      </c>
      <c r="J49" s="294">
        <v>-0.04</v>
      </c>
      <c r="K49" s="294">
        <v>5</v>
      </c>
      <c r="L49" s="39">
        <f t="shared" si="36"/>
        <v>721.04</v>
      </c>
      <c r="M49" s="179">
        <v>12</v>
      </c>
      <c r="N49" s="294">
        <v>1.6E-2</v>
      </c>
      <c r="O49" s="13">
        <f t="shared" si="37"/>
        <v>721.23199999999997</v>
      </c>
      <c r="P49" s="184"/>
      <c r="Q49" s="194">
        <f t="shared" si="38"/>
        <v>721.23199999999997</v>
      </c>
      <c r="R49" s="313">
        <v>12</v>
      </c>
      <c r="S49" s="39">
        <v>-1.6E-2</v>
      </c>
      <c r="T49" s="39">
        <v>721.04</v>
      </c>
    </row>
    <row r="50" spans="1:20" x14ac:dyDescent="0.25">
      <c r="A50" s="277"/>
      <c r="B50" s="293">
        <f t="shared" si="29"/>
        <v>21725</v>
      </c>
      <c r="C50" s="267">
        <f t="shared" si="29"/>
        <v>70309.62</v>
      </c>
      <c r="D50" s="294">
        <f t="shared" si="13"/>
        <v>0</v>
      </c>
      <c r="E50" s="13">
        <v>719.45</v>
      </c>
      <c r="F50" s="294">
        <v>-0.04</v>
      </c>
      <c r="G50" s="179">
        <v>13</v>
      </c>
      <c r="H50" s="179">
        <f t="shared" si="34"/>
        <v>718.93000000000006</v>
      </c>
      <c r="I50" s="13">
        <f t="shared" si="35"/>
        <v>720.75</v>
      </c>
      <c r="J50" s="294">
        <v>-0.04</v>
      </c>
      <c r="K50" s="294">
        <v>5</v>
      </c>
      <c r="L50" s="39">
        <f t="shared" si="36"/>
        <v>720.95</v>
      </c>
      <c r="M50" s="179">
        <v>12</v>
      </c>
      <c r="N50" s="294">
        <v>1.6E-2</v>
      </c>
      <c r="O50" s="13">
        <f t="shared" si="37"/>
        <v>721.14200000000005</v>
      </c>
      <c r="P50" s="184"/>
      <c r="Q50" s="194">
        <f t="shared" si="38"/>
        <v>721.14200000000005</v>
      </c>
      <c r="R50" s="313">
        <v>12</v>
      </c>
      <c r="S50" s="39">
        <v>-1.6E-2</v>
      </c>
      <c r="T50" s="39">
        <v>720.95</v>
      </c>
    </row>
    <row r="51" spans="1:20" x14ac:dyDescent="0.25">
      <c r="A51" s="277"/>
      <c r="B51" s="293">
        <f t="shared" si="29"/>
        <v>21750</v>
      </c>
      <c r="C51" s="267">
        <f t="shared" si="29"/>
        <v>70334.62</v>
      </c>
      <c r="D51" s="294">
        <f t="shared" si="13"/>
        <v>0</v>
      </c>
      <c r="E51" s="13">
        <v>719.37</v>
      </c>
      <c r="F51" s="294">
        <v>-0.04</v>
      </c>
      <c r="G51" s="179">
        <v>13</v>
      </c>
      <c r="H51" s="179">
        <f t="shared" si="34"/>
        <v>718.85</v>
      </c>
      <c r="I51" s="13">
        <f t="shared" si="35"/>
        <v>720.67</v>
      </c>
      <c r="J51" s="294">
        <v>-0.04</v>
      </c>
      <c r="K51" s="294">
        <v>5</v>
      </c>
      <c r="L51" s="39">
        <f t="shared" si="36"/>
        <v>720.87</v>
      </c>
      <c r="M51" s="179">
        <v>12</v>
      </c>
      <c r="N51" s="294">
        <v>1.6E-2</v>
      </c>
      <c r="O51" s="13">
        <f t="shared" si="37"/>
        <v>721.06200000000001</v>
      </c>
      <c r="P51" s="184"/>
      <c r="Q51" s="194">
        <f t="shared" si="38"/>
        <v>721.06200000000001</v>
      </c>
      <c r="R51" s="313">
        <v>12</v>
      </c>
      <c r="S51" s="39">
        <v>-1.6E-2</v>
      </c>
      <c r="T51" s="39">
        <v>720.87</v>
      </c>
    </row>
    <row r="52" spans="1:20" x14ac:dyDescent="0.25">
      <c r="A52" s="277"/>
      <c r="B52" s="293">
        <f t="shared" si="29"/>
        <v>21775</v>
      </c>
      <c r="C52" s="267">
        <f t="shared" si="29"/>
        <v>70359.62</v>
      </c>
      <c r="D52" s="294">
        <f t="shared" si="13"/>
        <v>0</v>
      </c>
      <c r="E52" s="13">
        <v>720.29</v>
      </c>
      <c r="F52" s="294">
        <v>-0.04</v>
      </c>
      <c r="G52" s="179">
        <v>13</v>
      </c>
      <c r="H52" s="179">
        <f t="shared" si="34"/>
        <v>719.77</v>
      </c>
      <c r="I52" s="13">
        <f t="shared" si="35"/>
        <v>720.57999999999993</v>
      </c>
      <c r="J52" s="294">
        <v>-0.04</v>
      </c>
      <c r="K52" s="294">
        <v>5</v>
      </c>
      <c r="L52" s="39">
        <f t="shared" si="36"/>
        <v>720.78</v>
      </c>
      <c r="M52" s="179">
        <v>12</v>
      </c>
      <c r="N52" s="294">
        <v>1.6E-2</v>
      </c>
      <c r="O52" s="13">
        <f t="shared" si="37"/>
        <v>720.97199999999998</v>
      </c>
      <c r="P52" s="184"/>
      <c r="Q52" s="194">
        <f t="shared" si="38"/>
        <v>720.97199999999998</v>
      </c>
      <c r="R52" s="313">
        <v>12</v>
      </c>
      <c r="S52" s="39">
        <v>-1.6E-2</v>
      </c>
      <c r="T52" s="39">
        <v>720.78</v>
      </c>
    </row>
    <row r="53" spans="1:20" x14ac:dyDescent="0.25">
      <c r="A53" s="277"/>
      <c r="B53" s="293">
        <f t="shared" si="29"/>
        <v>21800</v>
      </c>
      <c r="C53" s="267">
        <f t="shared" si="29"/>
        <v>70384.62</v>
      </c>
      <c r="D53" s="294">
        <f t="shared" si="13"/>
        <v>0</v>
      </c>
      <c r="E53" s="13">
        <v>720.29</v>
      </c>
      <c r="F53" s="294">
        <v>-0.04</v>
      </c>
      <c r="G53" s="179">
        <v>13</v>
      </c>
      <c r="H53" s="179">
        <f t="shared" si="34"/>
        <v>719.77</v>
      </c>
      <c r="I53" s="13">
        <f t="shared" si="35"/>
        <v>720.49</v>
      </c>
      <c r="J53" s="294">
        <v>-0.04</v>
      </c>
      <c r="K53" s="294">
        <v>5</v>
      </c>
      <c r="L53" s="39">
        <f t="shared" si="36"/>
        <v>720.69</v>
      </c>
      <c r="M53" s="179">
        <v>12</v>
      </c>
      <c r="N53" s="294">
        <v>1.6E-2</v>
      </c>
      <c r="O53" s="13">
        <f t="shared" si="37"/>
        <v>720.88200000000006</v>
      </c>
      <c r="P53" s="184"/>
      <c r="Q53" s="194">
        <f t="shared" si="38"/>
        <v>720.88200000000006</v>
      </c>
      <c r="R53" s="313">
        <v>12</v>
      </c>
      <c r="S53" s="39">
        <v>-1.6E-2</v>
      </c>
      <c r="T53" s="39">
        <v>720.69</v>
      </c>
    </row>
    <row r="54" spans="1:20" x14ac:dyDescent="0.25">
      <c r="A54" s="277"/>
      <c r="B54" s="293">
        <f t="shared" si="29"/>
        <v>21825</v>
      </c>
      <c r="C54" s="267">
        <f t="shared" si="29"/>
        <v>70409.62</v>
      </c>
      <c r="D54" s="294">
        <f t="shared" si="13"/>
        <v>0</v>
      </c>
      <c r="E54" s="13">
        <v>720.29</v>
      </c>
      <c r="F54" s="294">
        <v>-0.04</v>
      </c>
      <c r="G54" s="179">
        <v>13</v>
      </c>
      <c r="H54" s="179">
        <f t="shared" si="34"/>
        <v>719.77</v>
      </c>
      <c r="I54" s="13">
        <f t="shared" si="35"/>
        <v>720.4</v>
      </c>
      <c r="J54" s="294">
        <v>-0.04</v>
      </c>
      <c r="K54" s="294">
        <v>5</v>
      </c>
      <c r="L54" s="39">
        <f t="shared" si="36"/>
        <v>720.6</v>
      </c>
      <c r="M54" s="179">
        <v>12</v>
      </c>
      <c r="N54" s="294">
        <v>1.6E-2</v>
      </c>
      <c r="O54" s="13">
        <f t="shared" si="37"/>
        <v>720.79200000000003</v>
      </c>
      <c r="P54" s="184"/>
      <c r="Q54" s="194">
        <f t="shared" si="38"/>
        <v>720.79200000000003</v>
      </c>
      <c r="R54" s="313">
        <v>12</v>
      </c>
      <c r="S54" s="39">
        <v>-1.6E-2</v>
      </c>
      <c r="T54" s="39">
        <v>720.6</v>
      </c>
    </row>
    <row r="55" spans="1:20" x14ac:dyDescent="0.25">
      <c r="A55" s="277"/>
      <c r="B55" s="293">
        <f t="shared" si="29"/>
        <v>21850</v>
      </c>
      <c r="C55" s="267">
        <f t="shared" si="29"/>
        <v>70434.62</v>
      </c>
      <c r="D55" s="294">
        <f t="shared" si="13"/>
        <v>0</v>
      </c>
      <c r="E55" s="13">
        <v>720.29</v>
      </c>
      <c r="F55" s="294">
        <v>-0.04</v>
      </c>
      <c r="G55" s="179">
        <v>13</v>
      </c>
      <c r="H55" s="179">
        <f t="shared" si="34"/>
        <v>719.77</v>
      </c>
      <c r="I55" s="13">
        <f t="shared" si="35"/>
        <v>720.31999999999994</v>
      </c>
      <c r="J55" s="294">
        <v>-0.04</v>
      </c>
      <c r="K55" s="294">
        <v>5</v>
      </c>
      <c r="L55" s="39">
        <f t="shared" si="36"/>
        <v>720.52</v>
      </c>
      <c r="M55" s="179">
        <v>12</v>
      </c>
      <c r="N55" s="294">
        <v>1.6E-2</v>
      </c>
      <c r="O55" s="13">
        <f t="shared" si="37"/>
        <v>720.71199999999999</v>
      </c>
      <c r="P55" s="184"/>
      <c r="Q55" s="194">
        <f t="shared" si="38"/>
        <v>720.71199999999999</v>
      </c>
      <c r="R55" s="313">
        <v>12</v>
      </c>
      <c r="S55" s="39">
        <v>-1.6E-2</v>
      </c>
      <c r="T55" s="39">
        <v>720.52</v>
      </c>
    </row>
    <row r="56" spans="1:20" x14ac:dyDescent="0.25">
      <c r="A56" s="277"/>
      <c r="B56" s="293">
        <f t="shared" si="29"/>
        <v>21875</v>
      </c>
      <c r="C56" s="267">
        <f t="shared" si="29"/>
        <v>70459.62</v>
      </c>
      <c r="D56" s="294">
        <f t="shared" si="13"/>
        <v>0</v>
      </c>
      <c r="E56" s="13">
        <v>720.29</v>
      </c>
      <c r="F56" s="294">
        <v>-0.04</v>
      </c>
      <c r="G56" s="179">
        <v>13</v>
      </c>
      <c r="H56" s="179">
        <f t="shared" si="34"/>
        <v>719.77</v>
      </c>
      <c r="I56" s="13">
        <f t="shared" si="35"/>
        <v>720.2299999999999</v>
      </c>
      <c r="J56" s="294">
        <v>-0.04</v>
      </c>
      <c r="K56" s="294">
        <v>5</v>
      </c>
      <c r="L56" s="39">
        <f t="shared" si="36"/>
        <v>720.43</v>
      </c>
      <c r="M56" s="179">
        <v>12</v>
      </c>
      <c r="N56" s="294">
        <v>1.6E-2</v>
      </c>
      <c r="O56" s="13">
        <f t="shared" si="37"/>
        <v>720.62199999999996</v>
      </c>
      <c r="P56" s="184"/>
      <c r="Q56" s="194">
        <f t="shared" si="38"/>
        <v>720.62199999999996</v>
      </c>
      <c r="R56" s="313">
        <v>12</v>
      </c>
      <c r="S56" s="39">
        <v>-1.6E-2</v>
      </c>
      <c r="T56" s="39">
        <v>720.43</v>
      </c>
    </row>
    <row r="57" spans="1:20" x14ac:dyDescent="0.25">
      <c r="A57" s="277"/>
      <c r="B57" s="293">
        <f t="shared" si="29"/>
        <v>21900</v>
      </c>
      <c r="C57" s="267">
        <f t="shared" si="29"/>
        <v>70484.62</v>
      </c>
      <c r="D57" s="294">
        <f t="shared" si="13"/>
        <v>0</v>
      </c>
      <c r="E57" s="13">
        <v>720.29</v>
      </c>
      <c r="F57" s="294">
        <v>-0.04</v>
      </c>
      <c r="G57" s="179">
        <v>13</v>
      </c>
      <c r="H57" s="179">
        <f t="shared" si="34"/>
        <v>719.77</v>
      </c>
      <c r="I57" s="13">
        <f t="shared" si="35"/>
        <v>720.14</v>
      </c>
      <c r="J57" s="294">
        <v>-0.04</v>
      </c>
      <c r="K57" s="294">
        <v>5</v>
      </c>
      <c r="L57" s="39">
        <f t="shared" si="36"/>
        <v>720.34</v>
      </c>
      <c r="M57" s="179">
        <v>12</v>
      </c>
      <c r="N57" s="294">
        <v>1.6E-2</v>
      </c>
      <c r="O57" s="13">
        <f t="shared" si="37"/>
        <v>720.53200000000004</v>
      </c>
      <c r="P57" s="184"/>
      <c r="Q57" s="194">
        <f t="shared" si="38"/>
        <v>720.53200000000004</v>
      </c>
      <c r="R57" s="313">
        <v>12</v>
      </c>
      <c r="S57" s="39">
        <v>-1.6E-2</v>
      </c>
      <c r="T57" s="39">
        <v>720.34</v>
      </c>
    </row>
    <row r="58" spans="1:20" x14ac:dyDescent="0.25">
      <c r="A58" s="277"/>
      <c r="B58" s="293">
        <f t="shared" si="29"/>
        <v>21925</v>
      </c>
      <c r="C58" s="267">
        <f t="shared" si="29"/>
        <v>70509.62</v>
      </c>
      <c r="D58" s="294">
        <f t="shared" si="13"/>
        <v>0</v>
      </c>
      <c r="E58" s="13">
        <v>720.29</v>
      </c>
      <c r="F58" s="294">
        <v>-0.04</v>
      </c>
      <c r="G58" s="179">
        <v>13</v>
      </c>
      <c r="H58" s="179">
        <f t="shared" si="34"/>
        <v>719.77</v>
      </c>
      <c r="I58" s="13">
        <f t="shared" si="35"/>
        <v>720.05</v>
      </c>
      <c r="J58" s="294">
        <v>-0.04</v>
      </c>
      <c r="K58" s="294">
        <v>5</v>
      </c>
      <c r="L58" s="39">
        <f t="shared" si="36"/>
        <v>720.25</v>
      </c>
      <c r="M58" s="179">
        <v>12</v>
      </c>
      <c r="N58" s="294">
        <v>1.6E-2</v>
      </c>
      <c r="O58" s="13">
        <f t="shared" si="37"/>
        <v>720.44200000000001</v>
      </c>
      <c r="P58" s="184"/>
      <c r="Q58" s="194">
        <f t="shared" si="38"/>
        <v>720.44200000000001</v>
      </c>
      <c r="R58" s="313">
        <v>12</v>
      </c>
      <c r="S58" s="39">
        <v>-1.6E-2</v>
      </c>
      <c r="T58" s="39">
        <v>720.25</v>
      </c>
    </row>
    <row r="59" spans="1:20" x14ac:dyDescent="0.25">
      <c r="A59" s="277"/>
      <c r="B59" s="293">
        <f t="shared" si="29"/>
        <v>21950</v>
      </c>
      <c r="C59" s="267">
        <f t="shared" si="29"/>
        <v>70534.62</v>
      </c>
      <c r="D59" s="294">
        <f t="shared" si="13"/>
        <v>0</v>
      </c>
      <c r="E59" s="13">
        <v>720.29</v>
      </c>
      <c r="F59" s="294">
        <v>-0.04</v>
      </c>
      <c r="G59" s="179">
        <v>13</v>
      </c>
      <c r="H59" s="179">
        <f t="shared" si="34"/>
        <v>719.77</v>
      </c>
      <c r="I59" s="13">
        <f t="shared" si="35"/>
        <v>719.96999999999991</v>
      </c>
      <c r="J59" s="294">
        <v>-0.04</v>
      </c>
      <c r="K59" s="294">
        <v>5</v>
      </c>
      <c r="L59" s="39">
        <f t="shared" si="36"/>
        <v>720.17</v>
      </c>
      <c r="M59" s="179">
        <v>12</v>
      </c>
      <c r="N59" s="294">
        <v>1.6E-2</v>
      </c>
      <c r="O59" s="13">
        <f t="shared" si="37"/>
        <v>720.36199999999997</v>
      </c>
      <c r="P59" s="184"/>
      <c r="Q59" s="194">
        <f t="shared" si="38"/>
        <v>720.36199999999997</v>
      </c>
      <c r="R59" s="313">
        <v>12</v>
      </c>
      <c r="S59" s="39">
        <v>-1.6E-2</v>
      </c>
      <c r="T59" s="39">
        <v>720.17</v>
      </c>
    </row>
    <row r="60" spans="1:20" x14ac:dyDescent="0.25">
      <c r="A60" s="277"/>
      <c r="B60" s="293">
        <f t="shared" si="29"/>
        <v>21975</v>
      </c>
      <c r="C60" s="267">
        <f t="shared" si="29"/>
        <v>70559.62</v>
      </c>
      <c r="D60" s="294">
        <f t="shared" si="13"/>
        <v>0</v>
      </c>
      <c r="E60" s="13">
        <v>720.29</v>
      </c>
      <c r="F60" s="294">
        <v>-0.04</v>
      </c>
      <c r="G60" s="179">
        <v>13</v>
      </c>
      <c r="H60" s="179">
        <f t="shared" si="34"/>
        <v>719.77</v>
      </c>
      <c r="I60" s="13">
        <f t="shared" si="35"/>
        <v>719.88</v>
      </c>
      <c r="J60" s="294">
        <v>-0.04</v>
      </c>
      <c r="K60" s="294">
        <v>5</v>
      </c>
      <c r="L60" s="39">
        <f t="shared" si="36"/>
        <v>720.08</v>
      </c>
      <c r="M60" s="179">
        <v>12</v>
      </c>
      <c r="N60" s="294">
        <v>1.6E-2</v>
      </c>
      <c r="O60" s="13">
        <f t="shared" si="37"/>
        <v>720.27200000000005</v>
      </c>
      <c r="P60" s="184"/>
      <c r="Q60" s="194">
        <f t="shared" si="38"/>
        <v>720.27200000000005</v>
      </c>
      <c r="R60" s="313">
        <v>12</v>
      </c>
      <c r="S60" s="39">
        <v>-1.6E-2</v>
      </c>
      <c r="T60" s="39">
        <v>720.08</v>
      </c>
    </row>
    <row r="61" spans="1:20" x14ac:dyDescent="0.25">
      <c r="A61" s="277"/>
      <c r="B61" s="293">
        <f t="shared" si="29"/>
        <v>22000</v>
      </c>
      <c r="C61" s="267">
        <f t="shared" si="29"/>
        <v>70584.62</v>
      </c>
      <c r="D61" s="294">
        <f t="shared" si="13"/>
        <v>0</v>
      </c>
      <c r="E61" s="13">
        <v>720.29</v>
      </c>
      <c r="F61" s="294">
        <v>-0.04</v>
      </c>
      <c r="G61" s="179">
        <v>13</v>
      </c>
      <c r="H61" s="179">
        <f t="shared" si="34"/>
        <v>719.77</v>
      </c>
      <c r="I61" s="13">
        <f t="shared" si="35"/>
        <v>719.79</v>
      </c>
      <c r="J61" s="294">
        <v>-0.04</v>
      </c>
      <c r="K61" s="294">
        <v>5</v>
      </c>
      <c r="L61" s="39">
        <f t="shared" si="36"/>
        <v>719.99</v>
      </c>
      <c r="M61" s="179">
        <v>12</v>
      </c>
      <c r="N61" s="294">
        <v>1.6E-2</v>
      </c>
      <c r="O61" s="13">
        <f t="shared" si="37"/>
        <v>720.18200000000002</v>
      </c>
      <c r="P61" s="184"/>
      <c r="Q61" s="194">
        <f t="shared" si="38"/>
        <v>720.18200000000002</v>
      </c>
      <c r="R61" s="313">
        <v>12</v>
      </c>
      <c r="S61" s="39">
        <v>-1.6E-2</v>
      </c>
      <c r="T61" s="39">
        <v>719.99</v>
      </c>
    </row>
    <row r="62" spans="1:20" x14ac:dyDescent="0.25">
      <c r="A62" s="277"/>
      <c r="B62" s="293">
        <f t="shared" si="29"/>
        <v>22025</v>
      </c>
      <c r="C62" s="267">
        <f t="shared" si="29"/>
        <v>70609.62</v>
      </c>
      <c r="D62" s="294">
        <f t="shared" si="13"/>
        <v>0</v>
      </c>
      <c r="E62" s="13">
        <v>720.29</v>
      </c>
      <c r="F62" s="294">
        <v>-0.04</v>
      </c>
      <c r="G62" s="179">
        <v>13</v>
      </c>
      <c r="H62" s="179">
        <f t="shared" si="34"/>
        <v>719.77</v>
      </c>
      <c r="I62" s="13">
        <f t="shared" si="35"/>
        <v>719.70999999999992</v>
      </c>
      <c r="J62" s="294">
        <v>-0.04</v>
      </c>
      <c r="K62" s="294">
        <v>5</v>
      </c>
      <c r="L62" s="39">
        <f t="shared" si="36"/>
        <v>719.91</v>
      </c>
      <c r="M62" s="179">
        <v>12</v>
      </c>
      <c r="N62" s="294">
        <v>1.6E-2</v>
      </c>
      <c r="O62" s="13">
        <f t="shared" si="37"/>
        <v>720.10199999999998</v>
      </c>
      <c r="P62" s="184"/>
      <c r="Q62" s="194">
        <f t="shared" si="38"/>
        <v>720.10199999999998</v>
      </c>
      <c r="R62" s="313">
        <v>12</v>
      </c>
      <c r="S62" s="39">
        <v>-1.6E-2</v>
      </c>
      <c r="T62" s="39">
        <v>719.91</v>
      </c>
    </row>
    <row r="63" spans="1:20" x14ac:dyDescent="0.25">
      <c r="A63" s="277"/>
      <c r="B63" s="293">
        <f t="shared" si="29"/>
        <v>22050</v>
      </c>
      <c r="C63" s="267">
        <f t="shared" si="29"/>
        <v>70634.62</v>
      </c>
      <c r="D63" s="294">
        <f t="shared" si="13"/>
        <v>0</v>
      </c>
      <c r="E63" s="13">
        <v>720.29</v>
      </c>
      <c r="F63" s="294">
        <v>-0.04</v>
      </c>
      <c r="G63" s="179">
        <v>13</v>
      </c>
      <c r="H63" s="179">
        <f t="shared" si="34"/>
        <v>719.77</v>
      </c>
      <c r="I63" s="13">
        <f t="shared" si="35"/>
        <v>719.66</v>
      </c>
      <c r="J63" s="294">
        <v>-0.04</v>
      </c>
      <c r="K63" s="294">
        <v>5</v>
      </c>
      <c r="L63" s="39">
        <f t="shared" si="36"/>
        <v>719.86</v>
      </c>
      <c r="M63" s="179">
        <v>12</v>
      </c>
      <c r="N63" s="294">
        <v>1.6E-2</v>
      </c>
      <c r="O63" s="13">
        <f t="shared" si="37"/>
        <v>720.05200000000002</v>
      </c>
      <c r="P63" s="184"/>
      <c r="Q63" s="194">
        <f t="shared" si="38"/>
        <v>720.05200000000002</v>
      </c>
      <c r="R63" s="313">
        <v>12</v>
      </c>
      <c r="S63" s="39">
        <v>-1.6E-2</v>
      </c>
      <c r="T63" s="39">
        <v>719.86</v>
      </c>
    </row>
    <row r="64" spans="1:20" x14ac:dyDescent="0.25">
      <c r="A64" s="277"/>
      <c r="B64" s="293">
        <f t="shared" si="29"/>
        <v>22075</v>
      </c>
      <c r="C64" s="267">
        <f t="shared" si="29"/>
        <v>70659.62</v>
      </c>
      <c r="D64" s="294">
        <f t="shared" si="13"/>
        <v>0</v>
      </c>
      <c r="E64" s="13">
        <v>720.29</v>
      </c>
      <c r="F64" s="294">
        <v>-0.04</v>
      </c>
      <c r="G64" s="179">
        <v>13</v>
      </c>
      <c r="H64" s="179">
        <f t="shared" si="34"/>
        <v>719.77</v>
      </c>
      <c r="I64" s="13">
        <f t="shared" si="35"/>
        <v>719.66</v>
      </c>
      <c r="J64" s="294">
        <v>-0.04</v>
      </c>
      <c r="K64" s="294">
        <v>5</v>
      </c>
      <c r="L64" s="39">
        <f t="shared" si="36"/>
        <v>719.86</v>
      </c>
      <c r="M64" s="179">
        <v>12</v>
      </c>
      <c r="N64" s="294">
        <v>1.6E-2</v>
      </c>
      <c r="O64" s="13">
        <f t="shared" si="37"/>
        <v>720.05200000000002</v>
      </c>
      <c r="P64" s="184"/>
      <c r="Q64" s="194">
        <f t="shared" si="38"/>
        <v>720.05200000000002</v>
      </c>
      <c r="R64" s="313">
        <v>12</v>
      </c>
      <c r="S64" s="39">
        <v>-1.6E-2</v>
      </c>
      <c r="T64" s="39">
        <v>719.86</v>
      </c>
    </row>
    <row r="65" spans="1:20" x14ac:dyDescent="0.25">
      <c r="A65" s="277"/>
      <c r="B65" s="293">
        <f t="shared" si="29"/>
        <v>22100</v>
      </c>
      <c r="C65" s="267">
        <f t="shared" si="29"/>
        <v>70684.62</v>
      </c>
      <c r="D65" s="294">
        <f t="shared" si="13"/>
        <v>0</v>
      </c>
      <c r="E65" s="13">
        <v>720.29</v>
      </c>
      <c r="F65" s="294">
        <v>-0.04</v>
      </c>
      <c r="G65" s="179">
        <v>13</v>
      </c>
      <c r="H65" s="179">
        <f t="shared" si="34"/>
        <v>719.77</v>
      </c>
      <c r="I65" s="13">
        <f t="shared" si="35"/>
        <v>719.70999999999992</v>
      </c>
      <c r="J65" s="294">
        <v>-0.04</v>
      </c>
      <c r="K65" s="294">
        <v>5</v>
      </c>
      <c r="L65" s="39">
        <f t="shared" si="36"/>
        <v>719.91</v>
      </c>
      <c r="M65" s="179">
        <v>12</v>
      </c>
      <c r="N65" s="294">
        <v>1.6E-2</v>
      </c>
      <c r="O65" s="13">
        <f t="shared" si="37"/>
        <v>720.10199999999998</v>
      </c>
      <c r="P65" s="184"/>
      <c r="Q65" s="194">
        <f t="shared" si="38"/>
        <v>720.10199999999998</v>
      </c>
      <c r="R65" s="313">
        <v>12</v>
      </c>
      <c r="S65" s="39">
        <v>-1.6E-2</v>
      </c>
      <c r="T65" s="39">
        <v>719.91</v>
      </c>
    </row>
    <row r="66" spans="1:20" x14ac:dyDescent="0.25">
      <c r="A66" s="277"/>
      <c r="B66" s="293">
        <f t="shared" si="29"/>
        <v>22125</v>
      </c>
      <c r="C66" s="267">
        <f t="shared" si="29"/>
        <v>70709.62</v>
      </c>
      <c r="D66" s="294">
        <f t="shared" si="13"/>
        <v>0</v>
      </c>
      <c r="E66" s="13">
        <v>720.29</v>
      </c>
      <c r="F66" s="294">
        <v>-0.04</v>
      </c>
      <c r="G66" s="179">
        <v>13</v>
      </c>
      <c r="H66" s="179">
        <f t="shared" si="34"/>
        <v>719.77</v>
      </c>
      <c r="I66" s="13">
        <f t="shared" si="35"/>
        <v>719.8</v>
      </c>
      <c r="J66" s="294">
        <v>-0.04</v>
      </c>
      <c r="K66" s="294">
        <v>5</v>
      </c>
      <c r="L66" s="39">
        <f t="shared" si="36"/>
        <v>720</v>
      </c>
      <c r="M66" s="179">
        <v>12</v>
      </c>
      <c r="N66" s="294">
        <v>1.6E-2</v>
      </c>
      <c r="O66" s="13">
        <f t="shared" si="37"/>
        <v>720.19200000000001</v>
      </c>
      <c r="P66" s="184"/>
      <c r="Q66" s="194">
        <f t="shared" si="38"/>
        <v>720.19200000000001</v>
      </c>
      <c r="R66" s="313">
        <v>12</v>
      </c>
      <c r="S66" s="39">
        <v>-1.6E-2</v>
      </c>
      <c r="T66" s="39">
        <v>720</v>
      </c>
    </row>
    <row r="67" spans="1:20" x14ac:dyDescent="0.25">
      <c r="A67" s="277"/>
      <c r="B67" s="293">
        <f t="shared" si="29"/>
        <v>22150</v>
      </c>
      <c r="C67" s="267">
        <f t="shared" si="29"/>
        <v>70734.62</v>
      </c>
      <c r="D67" s="294">
        <f t="shared" si="13"/>
        <v>0</v>
      </c>
      <c r="E67" s="13">
        <v>720.29</v>
      </c>
      <c r="F67" s="294">
        <v>-0.04</v>
      </c>
      <c r="G67" s="179">
        <v>13</v>
      </c>
      <c r="H67" s="179">
        <f t="shared" si="34"/>
        <v>719.77</v>
      </c>
      <c r="I67" s="13">
        <f t="shared" si="35"/>
        <v>719.93</v>
      </c>
      <c r="J67" s="294">
        <v>-0.04</v>
      </c>
      <c r="K67" s="294">
        <v>5</v>
      </c>
      <c r="L67" s="39">
        <f t="shared" si="36"/>
        <v>720.13</v>
      </c>
      <c r="M67" s="179">
        <v>12</v>
      </c>
      <c r="N67" s="294">
        <v>1.6E-2</v>
      </c>
      <c r="O67" s="13">
        <f t="shared" si="37"/>
        <v>720.322</v>
      </c>
      <c r="P67" s="184"/>
      <c r="Q67" s="194">
        <f t="shared" si="38"/>
        <v>720.322</v>
      </c>
      <c r="R67" s="313">
        <v>12</v>
      </c>
      <c r="S67" s="39">
        <v>-1.6E-2</v>
      </c>
      <c r="T67" s="39">
        <v>720.13</v>
      </c>
    </row>
    <row r="68" spans="1:20" x14ac:dyDescent="0.25">
      <c r="A68" s="277"/>
      <c r="B68" s="293">
        <f t="shared" si="29"/>
        <v>22175</v>
      </c>
      <c r="C68" s="267">
        <f t="shared" si="29"/>
        <v>70759.62</v>
      </c>
      <c r="D68" s="294">
        <f t="shared" si="13"/>
        <v>0</v>
      </c>
      <c r="E68" s="13">
        <v>720.29</v>
      </c>
      <c r="F68" s="294">
        <v>-0.04</v>
      </c>
      <c r="G68" s="179">
        <v>13</v>
      </c>
      <c r="H68" s="179">
        <f t="shared" si="34"/>
        <v>719.77</v>
      </c>
      <c r="I68" s="13">
        <f t="shared" si="35"/>
        <v>720.12</v>
      </c>
      <c r="J68" s="294">
        <v>-0.04</v>
      </c>
      <c r="K68" s="294">
        <v>5</v>
      </c>
      <c r="L68" s="39">
        <f t="shared" si="36"/>
        <v>720.32</v>
      </c>
      <c r="M68" s="179">
        <v>12</v>
      </c>
      <c r="N68" s="294">
        <v>1.6E-2</v>
      </c>
      <c r="O68" s="13">
        <f t="shared" si="37"/>
        <v>720.51200000000006</v>
      </c>
      <c r="P68" s="184"/>
      <c r="Q68" s="194">
        <f t="shared" si="38"/>
        <v>720.51200000000006</v>
      </c>
      <c r="R68" s="313">
        <v>12</v>
      </c>
      <c r="S68" s="39">
        <v>-1.6E-2</v>
      </c>
      <c r="T68" s="39">
        <v>720.32</v>
      </c>
    </row>
  </sheetData>
  <sheetProtection algorithmName="SHA-512" hashValue="cPh4sG29KR7v+gp1LYiX7H+ybngSZhHXnnnV3z03kg6KnI6BFQbmkTNYDyOUw6PWuWjunICGD/xD8PX4WZhYbA==" saltValue="86hk9JtlRR2tqiE9wwM2Zg==" spinCount="100000" sheet="1" objects="1" scenarios="1"/>
  <mergeCells count="1">
    <mergeCell ref="Q28:R2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IR 71 SB TIE IN TO GREENLAWN BR</vt:lpstr>
      <vt:lpstr>RAMP B3</vt:lpstr>
      <vt:lpstr>RAMP C3 &amp; C5</vt:lpstr>
      <vt:lpstr>RAMP C3</vt:lpstr>
      <vt:lpstr>RAMP SHOULDER TRANSITIONS</vt:lpstr>
      <vt:lpstr>IR 71 SB &amp; BARR GORE CONT</vt:lpstr>
      <vt:lpstr>'IR 71 SB TIE IN TO GREENLAWN BR'!Print_Area</vt:lpstr>
      <vt:lpstr>'RAMP B3'!Print_Area</vt:lpstr>
      <vt:lpstr>'RAMP C3'!Print_Area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Mellman</dc:creator>
  <cp:lastModifiedBy>colinr</cp:lastModifiedBy>
  <cp:lastPrinted>2015-04-22T16:30:45Z</cp:lastPrinted>
  <dcterms:created xsi:type="dcterms:W3CDTF">2012-04-20T13:53:38Z</dcterms:created>
  <dcterms:modified xsi:type="dcterms:W3CDTF">2020-01-10T21:19:05Z</dcterms:modified>
</cp:coreProperties>
</file>